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Search Consultancy\LOPENDE PROJECTEN\29.26.00030 LCA NMD beheer &amp; ondersteuning 2026\_NMD VERSIES\VERSIE 3.12 (NA JULI 2025)\"/>
    </mc:Choice>
  </mc:AlternateContent>
  <xr:revisionPtr revIDLastSave="0" documentId="13_ncr:1_{709AA457-8E92-4B51-B4C9-890607E41B28}" xr6:coauthVersionLast="47" xr6:coauthVersionMax="47" xr10:uidLastSave="{00000000-0000-0000-0000-000000000000}"/>
  <bookViews>
    <workbookView xWindow="-120" yWindow="-120" windowWidth="29040" windowHeight="15720" xr2:uid="{B026E59A-5080-4F88-BCB0-254C68DA57A5}"/>
  </bookViews>
  <sheets>
    <sheet name="Wijzigingen processendatabas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4" i="2" l="1"/>
  <c r="F523"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461" i="2"/>
  <c r="F460" i="2"/>
  <c r="I459" i="2"/>
  <c r="I456" i="2"/>
  <c r="F457" i="2"/>
  <c r="F454" i="2"/>
  <c r="I450" i="2"/>
  <c r="F451" i="2"/>
  <c r="I453" i="2"/>
  <c r="I428" i="2"/>
  <c r="F428" i="2"/>
  <c r="I427" i="2"/>
  <c r="F427" i="2"/>
  <c r="I426" i="2"/>
  <c r="F426" i="2"/>
  <c r="I425" i="2"/>
  <c r="F425" i="2"/>
  <c r="I424" i="2"/>
  <c r="F424" i="2"/>
  <c r="I423" i="2"/>
  <c r="F423" i="2"/>
  <c r="I422" i="2"/>
  <c r="F422" i="2"/>
  <c r="I421" i="2"/>
  <c r="F421" i="2"/>
  <c r="I420" i="2"/>
  <c r="F420" i="2"/>
  <c r="I419" i="2"/>
  <c r="F419" i="2"/>
  <c r="I418" i="2"/>
  <c r="F418" i="2"/>
  <c r="I417" i="2"/>
  <c r="F417" i="2"/>
  <c r="I416" i="2"/>
  <c r="F416" i="2"/>
  <c r="I415" i="2"/>
  <c r="F415" i="2"/>
  <c r="I414" i="2"/>
  <c r="F414" i="2"/>
  <c r="I413" i="2"/>
  <c r="F413" i="2"/>
  <c r="I412" i="2"/>
  <c r="F412" i="2"/>
  <c r="I411" i="2"/>
  <c r="F411" i="2"/>
  <c r="I410" i="2"/>
  <c r="F410" i="2"/>
  <c r="I409" i="2"/>
  <c r="F409" i="2"/>
  <c r="I408" i="2"/>
  <c r="F408" i="2"/>
  <c r="I407" i="2"/>
  <c r="F407" i="2"/>
  <c r="I406" i="2"/>
  <c r="F406" i="2"/>
  <c r="I405" i="2"/>
  <c r="F405" i="2"/>
  <c r="I404" i="2"/>
  <c r="F404" i="2"/>
  <c r="I403" i="2"/>
  <c r="F403" i="2"/>
  <c r="I402" i="2"/>
  <c r="F402" i="2"/>
  <c r="I401" i="2"/>
  <c r="F401" i="2"/>
  <c r="I400" i="2"/>
  <c r="F400" i="2"/>
  <c r="I399" i="2"/>
  <c r="F399" i="2"/>
  <c r="I398" i="2"/>
  <c r="F398" i="2"/>
  <c r="I397" i="2"/>
  <c r="F397" i="2"/>
  <c r="I367" i="2"/>
  <c r="F367" i="2"/>
  <c r="I383" i="2"/>
  <c r="F383" i="2"/>
  <c r="I396" i="2"/>
  <c r="F396" i="2"/>
  <c r="I395" i="2"/>
  <c r="F395" i="2"/>
  <c r="I394" i="2"/>
  <c r="F394" i="2"/>
  <c r="I393" i="2"/>
  <c r="F393" i="2"/>
  <c r="I392" i="2"/>
  <c r="F392" i="2"/>
  <c r="I391" i="2"/>
  <c r="F391" i="2"/>
  <c r="I390" i="2"/>
  <c r="F390" i="2"/>
  <c r="I389" i="2"/>
  <c r="F389" i="2"/>
  <c r="I388" i="2"/>
  <c r="F388" i="2"/>
  <c r="I387" i="2"/>
  <c r="F387" i="2"/>
  <c r="I386" i="2"/>
  <c r="F386" i="2"/>
  <c r="I385" i="2"/>
  <c r="F385" i="2"/>
  <c r="I384" i="2"/>
  <c r="F384" i="2"/>
  <c r="I382" i="2"/>
  <c r="F382" i="2"/>
  <c r="I381" i="2"/>
  <c r="F381" i="2"/>
  <c r="F368" i="2"/>
  <c r="I380" i="2"/>
  <c r="F380" i="2"/>
  <c r="I379" i="2"/>
  <c r="F379" i="2"/>
  <c r="I378" i="2"/>
  <c r="F378" i="2"/>
  <c r="I377" i="2"/>
  <c r="F377" i="2"/>
  <c r="I376" i="2"/>
  <c r="F376" i="2"/>
  <c r="I375" i="2"/>
  <c r="F375" i="2"/>
  <c r="I374" i="2"/>
  <c r="F374" i="2"/>
  <c r="I373" i="2"/>
  <c r="F373" i="2"/>
  <c r="I372" i="2"/>
  <c r="F372" i="2"/>
  <c r="I371" i="2"/>
  <c r="F371" i="2"/>
  <c r="I370" i="2"/>
  <c r="F370" i="2"/>
  <c r="I369" i="2"/>
  <c r="F369" i="2"/>
  <c r="I368" i="2"/>
  <c r="I366" i="2"/>
  <c r="F366" i="2"/>
  <c r="F365" i="2"/>
  <c r="I365" i="2"/>
  <c r="F352" i="2"/>
  <c r="I364" i="2"/>
  <c r="F364" i="2"/>
  <c r="I363" i="2"/>
  <c r="F363" i="2"/>
  <c r="I362" i="2"/>
  <c r="F362" i="2"/>
  <c r="I361" i="2"/>
  <c r="F361" i="2"/>
  <c r="I360" i="2"/>
  <c r="F360" i="2"/>
  <c r="I359" i="2"/>
  <c r="F359" i="2"/>
  <c r="I358" i="2"/>
  <c r="F358" i="2"/>
  <c r="I357" i="2"/>
  <c r="F357" i="2"/>
  <c r="I356" i="2"/>
  <c r="F356" i="2"/>
  <c r="I355" i="2"/>
  <c r="F355" i="2"/>
  <c r="I354" i="2"/>
  <c r="F354" i="2"/>
  <c r="I353" i="2"/>
  <c r="F353" i="2"/>
  <c r="I352" i="2"/>
  <c r="F351" i="2"/>
  <c r="I350" i="2"/>
  <c r="I349" i="2"/>
  <c r="I348" i="2"/>
  <c r="I347" i="2"/>
  <c r="F350" i="2"/>
  <c r="F349" i="2"/>
  <c r="F348" i="2"/>
  <c r="F347" i="2"/>
  <c r="I346" i="2"/>
  <c r="I345" i="2"/>
  <c r="I344" i="2"/>
  <c r="F346" i="2"/>
  <c r="F345" i="2"/>
  <c r="F344" i="2"/>
  <c r="I343" i="2"/>
  <c r="I342" i="2"/>
  <c r="I341" i="2"/>
  <c r="F343" i="2"/>
  <c r="F342" i="2"/>
  <c r="F341" i="2"/>
  <c r="I340" i="2"/>
  <c r="I339" i="2"/>
  <c r="I338" i="2"/>
  <c r="F340" i="2"/>
  <c r="F339" i="2"/>
  <c r="F338" i="2"/>
  <c r="F337" i="2"/>
  <c r="I336" i="2"/>
  <c r="F336" i="2"/>
  <c r="I335" i="2"/>
  <c r="F335" i="2"/>
  <c r="I316" i="2"/>
  <c r="F316" i="2"/>
  <c r="I315" i="2"/>
  <c r="F315" i="2"/>
  <c r="I314" i="2"/>
  <c r="F314" i="2"/>
  <c r="I313" i="2"/>
  <c r="F313" i="2"/>
  <c r="I311" i="2"/>
  <c r="F311" i="2"/>
  <c r="I310" i="2"/>
  <c r="F310" i="2"/>
  <c r="I309" i="2"/>
  <c r="F309" i="2"/>
  <c r="I308" i="2"/>
  <c r="F308" i="2"/>
  <c r="I307" i="2"/>
  <c r="F307" i="2"/>
  <c r="I306" i="2"/>
  <c r="F306" i="2"/>
  <c r="I305" i="2"/>
  <c r="F305" i="2"/>
  <c r="I304" i="2"/>
  <c r="F304" i="2"/>
  <c r="I303" i="2"/>
  <c r="F303" i="2"/>
  <c r="I302" i="2"/>
  <c r="F302" i="2"/>
  <c r="I300" i="2"/>
  <c r="F300" i="2"/>
  <c r="I299" i="2"/>
  <c r="F299" i="2"/>
  <c r="I298" i="2"/>
  <c r="F298" i="2"/>
  <c r="I297" i="2"/>
  <c r="I296" i="2"/>
  <c r="I295" i="2"/>
  <c r="I294" i="2"/>
  <c r="I293" i="2"/>
  <c r="I292" i="2"/>
  <c r="I291" i="2"/>
  <c r="I290" i="2"/>
  <c r="I289" i="2"/>
  <c r="I288" i="2"/>
  <c r="F288" i="2"/>
  <c r="I287" i="2"/>
  <c r="F287" i="2"/>
  <c r="I286" i="2"/>
  <c r="F286" i="2"/>
  <c r="I285" i="2"/>
  <c r="F285" i="2"/>
  <c r="I283" i="2"/>
  <c r="F283" i="2"/>
  <c r="I282" i="2"/>
  <c r="F282" i="2"/>
  <c r="I281" i="2"/>
  <c r="F281" i="2"/>
  <c r="I280" i="2"/>
  <c r="F280" i="2"/>
  <c r="I279" i="2"/>
  <c r="F279" i="2"/>
  <c r="I278" i="2"/>
  <c r="F278" i="2"/>
  <c r="I277" i="2"/>
  <c r="F277" i="2"/>
  <c r="I276" i="2"/>
  <c r="F276" i="2"/>
  <c r="I275" i="2"/>
  <c r="F275" i="2"/>
  <c r="I274" i="2"/>
  <c r="F274" i="2"/>
  <c r="I272" i="2"/>
  <c r="F272" i="2"/>
  <c r="I271" i="2"/>
  <c r="F271" i="2"/>
  <c r="I270" i="2"/>
  <c r="F270" i="2"/>
  <c r="I268" i="2"/>
  <c r="I267" i="2"/>
  <c r="F265" i="2"/>
  <c r="F264" i="2"/>
  <c r="F263" i="2"/>
  <c r="F262" i="2"/>
  <c r="I265" i="2"/>
  <c r="I264" i="2"/>
  <c r="I263" i="2"/>
  <c r="I262" i="2"/>
  <c r="F260" i="2"/>
  <c r="F259" i="2"/>
  <c r="F258" i="2"/>
  <c r="F257" i="2"/>
  <c r="I260" i="2"/>
  <c r="I259" i="2"/>
  <c r="I258" i="2"/>
  <c r="I257" i="2"/>
  <c r="F256" i="2"/>
  <c r="F255" i="2"/>
  <c r="F254" i="2"/>
  <c r="F253" i="2"/>
  <c r="F252" i="2"/>
  <c r="F251" i="2"/>
  <c r="F249" i="2"/>
  <c r="F248" i="2"/>
  <c r="F247" i="2"/>
  <c r="I249" i="2"/>
  <c r="I248" i="2"/>
  <c r="I247" i="2"/>
  <c r="I253" i="2"/>
  <c r="I252" i="2"/>
  <c r="I251" i="2"/>
  <c r="I256" i="2"/>
  <c r="I255" i="2"/>
  <c r="I254" i="2"/>
  <c r="I246" i="2"/>
  <c r="I245" i="2"/>
  <c r="I244" i="2"/>
  <c r="I243" i="2"/>
  <c r="I242" i="2"/>
  <c r="I241" i="2"/>
  <c r="I240" i="2"/>
  <c r="I239" i="2"/>
  <c r="I238" i="2"/>
  <c r="I232" i="2"/>
  <c r="I231" i="2"/>
  <c r="I230" i="2"/>
  <c r="I229" i="2"/>
  <c r="F232" i="2"/>
  <c r="F231" i="2"/>
  <c r="F230" i="2"/>
  <c r="F229" i="2"/>
  <c r="F228" i="2"/>
  <c r="F227" i="2"/>
  <c r="F226" i="2"/>
  <c r="I228" i="2"/>
  <c r="I227" i="2"/>
  <c r="I226" i="2"/>
  <c r="F225" i="2"/>
  <c r="F224" i="2"/>
  <c r="F223" i="2"/>
  <c r="I225" i="2"/>
  <c r="I224" i="2"/>
  <c r="I223" i="2"/>
  <c r="F221" i="2"/>
  <c r="I221" i="2"/>
  <c r="F220" i="2"/>
  <c r="I220" i="2"/>
  <c r="F219" i="2"/>
  <c r="I219" i="2"/>
  <c r="F236" i="2"/>
  <c r="I236" i="2"/>
  <c r="I237" i="2"/>
  <c r="F237" i="2"/>
  <c r="F235" i="2"/>
  <c r="I235" i="2"/>
  <c r="F234" i="2"/>
  <c r="I234" i="2"/>
  <c r="I217" i="2"/>
  <c r="I216" i="2"/>
  <c r="I175" i="2"/>
  <c r="I174" i="2"/>
  <c r="I173" i="2"/>
  <c r="I172" i="2"/>
  <c r="I171" i="2"/>
  <c r="I170" i="2"/>
  <c r="I169" i="2"/>
  <c r="I168" i="2"/>
  <c r="I167" i="2"/>
  <c r="F177" i="2"/>
  <c r="F175" i="2"/>
  <c r="F174" i="2"/>
  <c r="F173" i="2"/>
  <c r="F172" i="2"/>
  <c r="F171" i="2"/>
  <c r="F170" i="2"/>
  <c r="F168" i="2"/>
  <c r="F160" i="2"/>
  <c r="F158" i="2"/>
  <c r="F157" i="2"/>
  <c r="F156" i="2"/>
  <c r="F155" i="2"/>
  <c r="F154" i="2"/>
  <c r="F152" i="2"/>
  <c r="F151" i="2"/>
  <c r="F149" i="2"/>
  <c r="F147" i="2"/>
  <c r="I158" i="2"/>
  <c r="I157" i="2"/>
  <c r="I156" i="2"/>
  <c r="I155" i="2"/>
  <c r="I154" i="2"/>
  <c r="I153" i="2"/>
  <c r="I152" i="2"/>
  <c r="I151" i="2"/>
  <c r="I150" i="2"/>
  <c r="I149" i="2"/>
  <c r="I148" i="2"/>
  <c r="I147" i="2"/>
  <c r="I146" i="2"/>
  <c r="F139" i="2"/>
  <c r="F137" i="2"/>
  <c r="F136" i="2"/>
  <c r="F134" i="2"/>
  <c r="F133" i="2"/>
  <c r="F132" i="2"/>
  <c r="F131" i="2"/>
  <c r="F123" i="2"/>
  <c r="F121" i="2"/>
  <c r="F120" i="2"/>
  <c r="F118" i="2"/>
  <c r="F117" i="2"/>
  <c r="F115" i="2"/>
  <c r="F114" i="2"/>
  <c r="F112" i="2"/>
  <c r="I110" i="2"/>
  <c r="I109" i="2"/>
  <c r="I108" i="2"/>
  <c r="I106" i="2"/>
  <c r="I105" i="2"/>
  <c r="F104" i="2"/>
  <c r="I103" i="2"/>
  <c r="F102" i="2"/>
  <c r="F99" i="2"/>
  <c r="F98" i="2"/>
  <c r="F97" i="2"/>
  <c r="F96" i="2"/>
  <c r="F95" i="2"/>
  <c r="F94" i="2"/>
  <c r="F93" i="2"/>
  <c r="F92" i="2"/>
  <c r="I86" i="2"/>
  <c r="I87" i="2"/>
  <c r="F83" i="2"/>
  <c r="F82" i="2"/>
  <c r="F81" i="2"/>
  <c r="F80" i="2"/>
  <c r="F78" i="2"/>
  <c r="F77" i="2"/>
  <c r="F72" i="2"/>
  <c r="I67" i="2"/>
  <c r="I66" i="2"/>
  <c r="F7" i="2"/>
  <c r="I4" i="2"/>
  <c r="F4" i="2"/>
</calcChain>
</file>

<file path=xl/sharedStrings.xml><?xml version="1.0" encoding="utf-8"?>
<sst xmlns="http://schemas.openxmlformats.org/spreadsheetml/2006/main" count="2715" uniqueCount="665">
  <si>
    <t>Processen</t>
  </si>
  <si>
    <t>Type wijziging</t>
  </si>
  <si>
    <t>Beschrijving wijziging</t>
  </si>
  <si>
    <t>Eenheid</t>
  </si>
  <si>
    <t>Flow/proces</t>
  </si>
  <si>
    <t>Onderbouwing</t>
  </si>
  <si>
    <t>kg</t>
  </si>
  <si>
    <t>0168-fab&amp;Zand, industriezand, ophoogzand, betonzand, drainagezand (o.b.v. Sand {RoW}| market for sand | Cut-off, U)</t>
  </si>
  <si>
    <t>0193-fab&amp;Grind (o.b.v. Gravel, round {RoW}| market for gravel, round | Cut-off, U)</t>
  </si>
  <si>
    <t>0289-fab&amp;Water, drinkwater (o.b.v. Tap water {RER}| market group for | Cut-off, U)</t>
  </si>
  <si>
    <t>m3</t>
  </si>
  <si>
    <t>Hoeveelheid</t>
  </si>
  <si>
    <t>Correctie</t>
  </si>
  <si>
    <t>Nieuwe processen</t>
  </si>
  <si>
    <t>0001-tra&amp;Transport, vrachtwagen (o.b.v. Transport, freight, lorry, unspecified {GLO}| market group for transport, freight, lorry, unspecified | Cut-off, U)</t>
  </si>
  <si>
    <t>tkm</t>
  </si>
  <si>
    <t>Toevoegen per eenheid proces</t>
  </si>
  <si>
    <t>Weghalen per eenheid proces</t>
  </si>
  <si>
    <t>Hoeveelheid proces</t>
  </si>
  <si>
    <t>Proceseigenschappen</t>
  </si>
  <si>
    <t>Eenheid proces</t>
  </si>
  <si>
    <t>0172-fab&amp;Cement, CEM I (o.b.v. CEM I 52.5 R) [NL-PCR Cement]</t>
  </si>
  <si>
    <t>0350-fab&amp;Cement, CEM III/B (o.b.v. CEM III/B 42.5 N) [NL-PCR Cement]</t>
  </si>
  <si>
    <t>Transport, freight, lorry, unspecified {GLO}| market group for transport, freight, lorry, unspecified | Cut-off, U</t>
  </si>
  <si>
    <t>0382-fab&amp;Plastificeerder, t.b.v beton (o.b.v. Plasticiser, for concrete, based on sulfonated melamine formaldehyde {GLO}| market for | Cut-off, U)</t>
  </si>
  <si>
    <t>Aanpassing inventarisatie</t>
  </si>
  <si>
    <t>0349-fab&amp;Cement, CEM III/A (o.b.v. CEM III/A 52.5 N) [NL-PCR Cement]</t>
  </si>
  <si>
    <t>ton</t>
  </si>
  <si>
    <t>0474-pro&amp;LNG, dual-fuel (80% LNG 20% MGO), totaal A1-D, per 0,8 kg LNG en 0,2 kg MGO (o.b.v. TNO Scheepsbrandstoffen, 2021)</t>
  </si>
  <si>
    <t>0421-fab&amp;Asfalt, gietasfalt, waterbouw (module A1-D; totaalprofiel t.b.v. categorie 3 productkaart) [EcoChain, 2022]</t>
  </si>
  <si>
    <t>km</t>
  </si>
  <si>
    <t>0323-tra&amp;Transport, vrachtwagen (&gt;32 ton), Euro 5, HVO, per tkm</t>
  </si>
  <si>
    <t>0321-tra&amp;Transport, vrachtwagen (&gt;32 ton), Euro 5, FAME, per tkm</t>
  </si>
  <si>
    <t>0726-fab&amp;Betonmortel C20/25 (o.b.v. 75% CEM III en 25% CEM I), 2340,50 kg/m3</t>
  </si>
  <si>
    <t>0664-fab&amp;Vlas, korte vezels (o.b.v. Vlasplant, teelt + opname CO2 + energieinhoud)</t>
  </si>
  <si>
    <t>0782-fab&amp;Wilgentenen, teelt (o.b.v. zie opbouw proces)</t>
  </si>
  <si>
    <t>Wijzigingen processendatabase generieke processen v3.11 naar v3.12</t>
  </si>
  <si>
    <t>0798-emi&amp;Aluminium oxide, 100% emissie naar zeewater, per kg Al</t>
  </si>
  <si>
    <t>0799-emi&amp;Uitloging beton, per 100 jaar, per m2 [NL-PCR Beton]</t>
  </si>
  <si>
    <t>0800-fab&amp;Verbrande steenslag, exclusief transport naar NL (o.b.v. zie opbouw proces)</t>
  </si>
  <si>
    <t>0801-fab&amp;Lignine (o.b.v. zie opbouw proces)</t>
  </si>
  <si>
    <t>0802-fab&amp;Mycelium isolatieplaat (o.b.v. zie proces)</t>
  </si>
  <si>
    <t>0803-pro&amp;Aanvullen zink, aanbrengen van nieuw zink op bestaande laag, per um (o.b.v. zie opbouw proces)</t>
  </si>
  <si>
    <t>0804-fab&amp;Zeoliet, droogmiddel (o.b.v. Zeolite, powder {GLO}| market for zeolite, powder | Cut-off, U)</t>
  </si>
  <si>
    <t>0805-fab&amp;PVB, Polyvinylbutyral (o.b.v. Vinyl acetate {GLO}| market for | Cut-off, U &amp; 1-butanol {RER}| hydroformylation of propylene | Cut-off, U &amp; Extrusion, plastic film {RER}| extrusion, plastic film | Cut-off, U)</t>
  </si>
  <si>
    <t>0806-avC&amp;Verbranden biovezelplaat, Module D: 0267 - 15,96%, 0268 - 84,04% (o.b.v. Waste wood, untreated {CH}| treatment of waste wood, untreated, municipal incineration | Cut-off, U &amp; 0264-avC&amp;Verbranden kunststoffen; gemiddelde LHV: 17,96 MJ/kg (90% biobased 16,77 MJ/kg, 10% fossiel 28,67 MJ/kg)) (</t>
  </si>
  <si>
    <t>0807-sto&amp;Stort biovezelplaat (o.b.v. Waste wood, untreated {RoW}| treatment of waste wood, untreated, sanitary landfill | Cut-off, U | Cut-off, U &amp; 0249-sto&amp;Stort kunststoffen) (gebruik icm 0788-0792)</t>
  </si>
  <si>
    <t xml:space="preserve">0808-avC&amp;Verbranden grasvezelplaat, Module D: 0267 - 15,96%, 0268 - 84,04% (o.b.v. Waste wood, untreated {CH}| treatment of waste wood, untreated, municipal incineration | Cut-off, U &amp; 0264-avC&amp;Verbranden kunststoffen; gemiddelde LHV: 17,96 MJ/kg (90% biobased 16,77 MJ/kg, 10% fossiel 28,67 MJ/kg)) </t>
  </si>
  <si>
    <t>0809-sto&amp;Stort grasvezelplaat (o.b.v. Waste wood, untreated {RoW}| treatment of waste wood, untreated, sanitary landfill | Cut-off, U | Cut-off, U &amp; 0249-sto&amp;Stort kunststoffen) (gebruik icm 0787)</t>
  </si>
  <si>
    <t>0810-avC&amp;Verbranden biocomposietplaat, Module D: 0267 - 78,95%, 0268 - 21,05% (o.b.v. 0264-avC&amp;Verbranden kunststoffen &amp; Waste wood, untreated {CH}| municipal incineration; gemiddelde LHV: 15,0 MJ/kg (17,54% biobased 18,0 MJ/kg, 82,46% fossiel 14,36 MJ/kg) (gebruik icm 0794-0797)</t>
  </si>
  <si>
    <t>0811-fab&amp;Poedercoating, poederlak, moffellaag, op aluminium (o.b.v. Powder coat, aluminium sheet {GLO}| market for powder coat, aluminium sheet | Cut-off, U; 1 m2 = 0,1 kg)</t>
  </si>
  <si>
    <t>0812-avC&amp;Verbranden Mycelium isolatieplaat (o.b.v. Waste wood, untreated {CH}| treatment of waste wood, untreated, municipal incineration | Cut-off, U; gemiddelde LHV: 15,01 MJ/kg, 100% biobased (95,24% vlasscheven 15,55 MJ/kg, 4,76% schimmelbroed 4,29 MJ/kg))</t>
  </si>
  <si>
    <t>0813-sto&amp;Stort mycelium isolatieplaat (o.b.v. Waste wood, untreated {RoW}| treatment of waste wood, untreated, sanitary landfill | Cut-off, U | Cut-off, U)</t>
  </si>
  <si>
    <t>0814-fab&amp;Azijnzuur, zonder water, 98% oplossing (o.b.v. Acetic acid, without water, in 98% solution state {GLO}| market for acetic acid, without water, in 98% solution state | Cut-off, U)</t>
  </si>
  <si>
    <t>0815-fab&amp;Bitumen bij raffinaderij in Europa, profielwaarden [PCR Asfalt]</t>
  </si>
  <si>
    <t>0816-pro&amp;Elektriciteit, hernieuwbaar, uit waterkracht, bij consument, per kWh (o.b.v. zie toelichting in proces), (01-2031)</t>
  </si>
  <si>
    <t>MJ</t>
  </si>
  <si>
    <t>0817-pro&amp;WLC-Elektriciteit, gemiddelde mix 2025-2075 in Nederland (26% grijs, 74% hernieuwbaar), per kWh (o.b.v. zie opbouw proces), (01-2031)</t>
  </si>
  <si>
    <t>0818-fab&amp;Biogas, verbrand, bij consument, materialisatie infrastructuur, per m³ (o.b.v. zie toelichting in proces), (01-2031)</t>
  </si>
  <si>
    <t>0819-pro&amp;Biogas, verbrand, bij consument, per m³ (o.b.v. zie toelichting in proces), (01-2031)</t>
  </si>
  <si>
    <t>0820-pro&amp;Waterstofgas, groen, elektrolyse, windenergie, verbrand, bij consument, materialisatie infrastructuur, per kg (o.b.v. zie toelichting in proces), (01-2031)</t>
  </si>
  <si>
    <t>0821-pro&amp;Waterstofgas, groen, elektrolyse, windenergie, verbrand, bij consument, per kg (o.b.v. zie toelichting in proces), (01-2031)</t>
  </si>
  <si>
    <t>0822-pro&amp;Warmtelevering kleine biomassaketel &lt;1MW, Nederland, hoge populatiedichtheid, per MJ (o.b.v. Heat, district or industrial, other than natural gas {CH}| heat production, wood chips from industry, at furnace 300kW, state-of-the-art 2014 | Cut-off, U + specifieke emissies)</t>
  </si>
  <si>
    <t>0823-pro&amp;Warmtelevering kleine biomassaketel &lt;1MW, Nederland, lage populatiedichtheid, per MJ (o.b.v. Heat, district or industrial, other than natural gas {CH}| heat production, wood chips from industry, at furnace 300kW, state-of-the-art 2014 | Cut-off, U + specifieke emissies)</t>
  </si>
  <si>
    <t>0824-fab&amp;Vulstof zwak (o.b.v. 90% Lime {Europe without Switzerland}| lime production, milled, loose en 10% Lime, hydrated, packed {RER}| market for lime, hydrated, packed | Cut-off, U)  [PCR Asfalt 2.0]</t>
  </si>
  <si>
    <t>0825-reD&amp;Module D, asfaltgranulaat uit deklagen (o.b.v. Grondstofequivalent asfaltgranulaat uit deklagen - SMA &amp; AC Surf) [PCR Asfalt]</t>
  </si>
  <si>
    <t>0826-pro&amp;A5 Emissies + brandstof Stage IIIb/IV aanlegset asfalt – 400 ton/dag - per ton asfalt</t>
  </si>
  <si>
    <t>0827-pro&amp;C1 Emissies + brandstof Stage IIIb/IV verwijderingsset asfalt – 400 ton/dag - per ton asfalt</t>
  </si>
  <si>
    <t>0828-pro&amp;C3 Emissies + brandstof Stage IIIb/middel (75-130 kW) - per liter (o.b.v. ""Diesel, burned in building machine {GLO} | processing | Cut-off, U"")</t>
  </si>
  <si>
    <t>0829-pro&amp;C3 Emissies + brandstof Stage IV/zwaar (130-560kW) - per liter (o.b.v. ""Diesel, burned in building machine {GLO} | processing | Cut-off, U"")</t>
  </si>
  <si>
    <t>0830-fab&amp;Glasvezelversterkte polyamide (PA6), spuitgegoten (o.b.v. Glass fibre reinforced plastic, polyamide, injection moulded {GLO}| market for glass fibre reinforced plastic, polyamide, injection moulded | Cut-off, U)</t>
  </si>
  <si>
    <t>0831-fab&amp;Schoonmaakmiddel, per liter (o.b.v. Tap water {Europe without Switzerland}, Cleaning consumables, without water, in 13.6% solution state &amp; Water, completely softened {RER})</t>
  </si>
  <si>
    <t>0832-pro&amp;Warmwalsen, staal, profiel (o.b.v. Section bar rolling, steel {GLO}| market for section bar rolling, steel | Cut-off, U)</t>
  </si>
  <si>
    <t>0833-pro&amp;Draad trekken, staal (o.b.v. Wire drawing, steel {GLO}| market for wire drawing, steel | Cut-off, U)</t>
  </si>
  <si>
    <t>0834-fab&amp;Bevestigingsmateriaal, staal, ongelegeerd (o.b.v. Steel, unalloyed {GLO}, Hot rolling, steel {RER}, Energy and auxiliary inputs, metal working machine &amp; factory {RER}, 79% primair, 21% secundair)</t>
  </si>
  <si>
    <t>0835-fab&amp;Bevestigingsmateriaal, staal, laag gelegeerd (o.b.v. Steel, low-alloyed {GLO}, Hot rolling, steel {RER}, Energy and auxiliary inputs, metal working machine &amp; factory {RER}, 68,4% primair, 31,6% secundair)</t>
  </si>
  <si>
    <t>0836-pro&amp;Subkaart; Elektriciteit, grijs, bij consument, per kWh (A1-A3) (o.b.v. zie toelichting in proces), (01-2031)</t>
  </si>
  <si>
    <t>0837-pro&amp;Subkaart; Elektriciteit, grijs, bij consument, per kWh (A4) (o.b.v. zie toelichting in proces), (01-2031)</t>
  </si>
  <si>
    <t>0838-pro&amp;Subkaart; Elektriciteit, grijs, bij consument, per kWh (D) (o.b.v. zie toelichting in proces), (01-2031)</t>
  </si>
  <si>
    <t>0839-pro&amp;Subkaart; Elektriciteit, bij consument, materialisatie infrastructuur, grijs, per kWh (A1-A3) (o.b.v. zie toelichting in proces), (01-2031)</t>
  </si>
  <si>
    <t>0840-pro&amp;Subkaart; Elektriciteit, bij consument, materialisatie infrastructuur, grijs, per kWh (A4) (o.b.v. zie toelichting in proces), (01-2031)</t>
  </si>
  <si>
    <t>0841-pro&amp;Subkaart; Elektriciteit, hernieuwbaar, uit biomassa, bij consument, per kWh (A1-A3) (o.b.v. zie toelichting in proces), (01-2031)</t>
  </si>
  <si>
    <t>0842-pro&amp;Subkaart; Elektriciteit, hernieuwbaar, uit biomassa, bij consument, per kWh (A4) (o.b.v. zie toelichting in proces), (01-2031)</t>
  </si>
  <si>
    <t>0843-pro&amp;Subkaart; Elektriciteit, hernieuwbaar, uit biomassa, bij consument, per kWh (D) (o.b.v. zie toelichting in proces), (01-2031)</t>
  </si>
  <si>
    <t>0844-pro&amp;Subkaart; Elektriciteit, hernieuwbaar, uit biomassa, Materialisatie infrastructuur, bij consument, per kWh (A1-A3) (o.b.v. zie toelichting in proces), (01-2031) externe levering</t>
  </si>
  <si>
    <t>0845-pro&amp;Subkaart; Elektriciteit, hernieuwbaar, uit biomassa, Materialisatie infrastructuur, bij consument, per kWh (A4) (o.b.v. zie toelichting in proces), (01-2031) externe levering</t>
  </si>
  <si>
    <t>0846-pro&amp;Subkaart; Elektriciteit, hernieuwbaar, uit PV, bij consument, per kWh (A1-A3) (o.b.v. zie toelichting in proces), (01-2031)</t>
  </si>
  <si>
    <t>0847-pro&amp;Subkaart; Elektriciteit, hernieuwbaar, uit PV, bij consument, per kWh (A4) (o.b.v. zie toelichting in proces), (01-2031)</t>
  </si>
  <si>
    <t>0848-pro&amp;Subkaart; Elektriciteit, hernieuwbaar, uit PV, bij consument, per kWh (D), (o.b.v. zie toelichting in proces), (01-2031)</t>
  </si>
  <si>
    <t>0849-pro&amp;Subkaart; Elektriciteit, hernieuwbaar, uit waterkracht bij consument, per kWh (A1-A3), (o.b.v. zie toelichting in proces), (01-2031)</t>
  </si>
  <si>
    <t>0850-pro&amp;Subkaart; Elektriciteit, hernieuwbaar, uit waterkracht bij consument, per kWh (A4), (o.b.v. zie toelichting in proces), (01-2031)</t>
  </si>
  <si>
    <t>0851-pro&amp;Subkaart; Elektriciteit, hernieuwbaar, uit waterkracht bij consument, per kWh (D), (o.b.v. zie toelichting in proces), (01-2031)</t>
  </si>
  <si>
    <t>0852-pro&amp;Subkaart; Elektriciteit, hernieuwbaar, van windturbines op land, bij consument, per kWh (A1-A3) (o.b.v. zie toelichting in proces), (01-2031)</t>
  </si>
  <si>
    <t>0853-pro&amp;Subkaart; Elektriciteit, hernieuwbaar, van windturbines op land, bij consument, per kWh (A4) (o.b.v. zie toelichting in proces), (01-2031)</t>
  </si>
  <si>
    <t>0854-pro&amp;Subkaart; Elektriciteit, hernieuwbaar, van windturbines op land, bij consument, per kWh (D) (o.b.v. zie toelichting in proces), (01-2031)</t>
  </si>
  <si>
    <t>0855-pro&amp;Subkaart; Elektriciteit, hernieuwbaar, van windturbines op zee, bij consument, per kWh (A1-A3) (o.b.v. zie toelichting in proces), (01-2031)</t>
  </si>
  <si>
    <t>0856-pro&amp;Subkaart; Elektriciteit, hernieuwbaar, van windturbines op zee, bij consument, per kWh (A4) (o.b.v. zie toelichting in proces), (01-2031)</t>
  </si>
  <si>
    <t>0857-pro&amp;Subkaart; Elektriciteit, hernieuwbaar, van windturbines op zee, bij consument, per kWh (D) (o.b.v. zie toelichting in proces), (01-2031)</t>
  </si>
  <si>
    <t>0858-pro&amp;Subkaart; Elektriciteit, materialisatie elektriciteitsnet zonder omzettingsmiddelen, bij consument, per kWh (A1-A3) (o.b.v. zie toelichting in proces), (01-2031)</t>
  </si>
  <si>
    <t>0859-pro&amp;Subkaart; Elektriciteit, materialisatie elektriciteitsnet zonder omzettingsmiddelen, bij consument, per kWh (A4) (o.b.v. zie toelichting in proces), (01-2031)</t>
  </si>
  <si>
    <t>0860-pro&amp;Subkaart; Elektriciteit, materialisatie elektriciteitsnet zonder omzettingsmiddelen, bij consument, per kWh (D) (o.b.v. zie toelichting in proces), (01-2031)</t>
  </si>
  <si>
    <t>0861-pro&amp;Subkaart; Aardgas, verbrand, bij consument, materialisatie infrastructuur, per m3 (A1-A3) (o.b.v. zie toelichting in proces), (01-2031)</t>
  </si>
  <si>
    <t>0862-pro&amp;Subkaart; Aardgas, verbrand, bij consument, materialisatie infrastructuur, per m3 (A4) (o.b.v. zie toelichting in proces), (01-2031)</t>
  </si>
  <si>
    <t>0863-pro&amp;Subkaart; Aardgas, verbrand, bij consument, per m³ (A1-A3) (o.b.v. zie toelichting in proces), (01-2031)</t>
  </si>
  <si>
    <t>0864-pro&amp;Subkaart; Aardgas, verbrand, bij consument, per m³ (A4) (o.b.v. zie toelichting in proces), (01-2031)</t>
  </si>
  <si>
    <t>0865-pro&amp;Subkaart; Aardgas, verbrand, bij consument, per m³ (B1) (o.b.v. zie toelichting in proces), (01-2031)</t>
  </si>
  <si>
    <t>0866-pro&amp;Subkaart; Aardgas, verbrand, bij consument, per m³ (D) (o.b.v. zie toelichting in proces), (01-2031)</t>
  </si>
  <si>
    <t>0867-pro&amp;Subkaart; Biogas, verbrand, bij consument, materialisatie infrastructuur, per m3 (A1-A3) (o.b.v. zie toelichting in proces), (01-2031)</t>
  </si>
  <si>
    <t>0868-pro&amp;Subkaart; Biogas, verbrand, bij consument, materialisatie infrastructuur, per m3 (A4) (o.b.v. zie toelichting in proces), (01-2031)</t>
  </si>
  <si>
    <t>0869-pro&amp;Subkaart; Biogas, verbrand, bij consument, per m3 (A1-A3) (o.b.v. zie toelichting in proces), (01-2031)</t>
  </si>
  <si>
    <t>0870-pro&amp;Subkaart; Biogas, verbrand, bij consument, per m3 (A4) (o.b.v. zie toelichting in proces), (01-2031)</t>
  </si>
  <si>
    <t>0871-pro&amp;Subkaart; Biogas, verbrand, bij consument, per m3 (B1) (o.b.v. zie toelichting in proces), (01-2031)</t>
  </si>
  <si>
    <t>0872-pro&amp;Subkaart; Biogas, verbrand, bij consument, per m3 (D) (o.b.v. zie toelichting in proces), (01-2031)</t>
  </si>
  <si>
    <t>0873-pro&amp;Subkaart; Waterstofgas, groen, elektrolyse, windenergie, verbrand, bij consument, materialisatie infrastructuur, per kg (A1-A3) (o.b.v. zie toelichting in proces), (01-2031)</t>
  </si>
  <si>
    <t>0874-pro&amp;Subkaart; Waterstofgas, groen, elektrolyse, windenergie, verbrand, bij consument, materialisatie infrastructuur, per kg (A4) (o.b.v. zie toelichting in proces), (01-2031)</t>
  </si>
  <si>
    <t>0875-pro&amp;Subkaart; Waterstofgas, groen, elektrolyse, windenergie, verbrand, bij consument, per kg (A1-A3) (o.b.v. zie toelichting in proces), (01-2031)</t>
  </si>
  <si>
    <t>0876-pro&amp;Subkaart; Waterstofgas, groen, elektrolyse, windenergie, verbrand, bij consument, per kg (A4) (o.b.v. zie toelichting in proces), (01-2031)</t>
  </si>
  <si>
    <t>0877-pro&amp;Subkaart; Waterstofgas, groen, elektrolyse, windenergie, verbrand, bij consument, per kg (B1) (o.b.v. zie toelichting in proces), (01-2031)</t>
  </si>
  <si>
    <t>0878-pro&amp;Subkaart; Waterstofgas, groen, elektrolyse, windenergie, verbrand, bij consument, per kg (D) (o.b.v. zie toelichting in proces), (01-2031)</t>
  </si>
  <si>
    <t>0879-reC&amp;behandelen van afval papier, sorteren, per kg (o.b.v. Waste paper, sorted {Europe without Switzerland}| treatment of waste paper, unsorted, sorting | Cut-off, U)</t>
  </si>
  <si>
    <t>0880-reD&amp;Module D, Diethylene glycol, per kg NETTO geleverd Diethylene glycol (Vermeden: Diethylene glycol {RER}| ethylene glycol production | Cut-off, U)</t>
  </si>
  <si>
    <t>0881-reD&amp;Module D, Propane, per kg NETTO geleverd propaan (Vermeden: Liquefied petroleum gas {Europe without Switzerland}| liquefied petroleum gas production, petroleum refinery operation)</t>
  </si>
  <si>
    <t>0882-reD&amp;Module D, Pulp per kg NETTO geleverd (Vermeden: Pulpwood, softwood, measured as solid wood under bark {Europe without Switzerland}| market for pulpwood, softwood, measured as solid wood under bark | Cut-off, U)</t>
  </si>
  <si>
    <t>0883-fab&amp;Batterij, loodzuur, herlaadbaar (o.b.v. Battery, lead acid, rechargeable, stationary {GLO}| market for battery, lead acid, rechargeable, stationary | Cut-off, U, 60,9% primair, 39,1% secundair, 0,39 kg secundair lood)</t>
  </si>
  <si>
    <t>0884-fab&amp;Batterij, NaCl, natrium-ion-accu, herlaadbaar (o.b.v. Battery, NaCl {GLO}| market for battery, NaCl | Cut-off, U, 87% primair, 13% secundair)</t>
  </si>
  <si>
    <t>0885-fab&amp;Batterijcel, Li-ion LFP, Lithium-ijzer-fosfaat, herlaadbaar (o.b.v. Battery cell, Li-ion, LFP {GLO}| market for battery cell, Li-ion, LFP | Cut-off, U, 96% primair, 4% secundair)</t>
  </si>
  <si>
    <t>0886-fab&amp;Batterijcel, Li-ion NMC 811, herlaadbaar (o.b.v. Battery cell, Li-ion, NMC811 {GLO}| market for battery cell, Li-ion, NMC811 | Cut-off, U, 96% primair, 4% secundair)</t>
  </si>
  <si>
    <t>0887-fab&amp;Elektronica voor besturingsunit (o.b.v. Electronics, for control units {GLO}| market for electronics, for control units | Cut-off, U)</t>
  </si>
  <si>
    <t>0888-fab&amp;Elektronica, batterijmanagement systeem Li-ion (o.b.v. Battery management system, for Li-ion battery {GLO}| market for battery management system, for Li-ion battery | Cut-off, U)</t>
  </si>
  <si>
    <t>0889-fab&amp;GTL, Energiedrager, marktmix, A1-A3</t>
  </si>
  <si>
    <t>0890-tra&amp;Transport en opslag, GTL, Energiedrager, A4</t>
  </si>
  <si>
    <t>0891-fab&amp;Waterstof, Vloeibaar, Energiedrager, Elektrolyse, groene mix, A1-A3</t>
  </si>
  <si>
    <t>0892-fab&amp;Waterstof, Vloeibaar, Energiedrager, SMR, groene mix, A1-A3</t>
  </si>
  <si>
    <t>0893-tra&amp;Transport Waterstof, Vloeibaar, Energiedrager, groene mix, A4</t>
  </si>
  <si>
    <t>0894-pro&amp;Waterstofverbruik, bouwmachine, Elektrolyse, Wind mix, per kg (waterstof: 120 MJ/kg)</t>
  </si>
  <si>
    <t>0895-fab&amp;Kabel, opladen elektrische bouwmachines, 125A 400V, 17,4% secundair koper</t>
  </si>
  <si>
    <t>0896-pro&amp;Elektriciteitsverbruik, bouwmachine elektrisch, Generator, per kWh input (elektriciteit: 3,6 MJ/kWh; 3,6 MJ input is 2,75 MJ arbeid)</t>
  </si>
  <si>
    <t>0897-pro&amp;Elektriciteitsverbruik, bouwmachine elektrisch, Wind mix, per kWh input (elektriciteit: 3,6 MJ/kWh; 3,6 MJ input is 2,75 MJ arbeid)</t>
  </si>
  <si>
    <t>0898-pro&amp;Elektriciteitsverbruik, bouwmachine elektrisch, Zon mix, per kWh input (elektriciteit: 3,6 MJ/kWh; 3,6 MJ input is 2,75 MJ arbeid)</t>
  </si>
  <si>
    <t>Verwijderde processen:</t>
  </si>
  <si>
    <t>0091-pro&amp;Aggregaat, diesel 200-400 KVA, per uur (o.b.v. 2140 MJ Diesel, burned in building machine {GLO}| market for | Cut-off, U)</t>
  </si>
  <si>
    <t>hr</t>
  </si>
  <si>
    <t>0092-pro&amp;Sleephopperzuiger, 6000-10000 ton (10000 m3), per uur (o.b.v. 675 l Diesel, gasolie, gebruik, liter (o.b.v. 35,8 MJ Diesel, burned in building machine {GLO}| processing | Cut-off, U))</t>
  </si>
  <si>
    <t>0093-pro&amp;Bulldozer, 12-35 t, droog/nat, per uur (o.b.v. 705 MJ Diesel, burned in building machine {GLO}| market for | Cut-off, U)</t>
  </si>
  <si>
    <t>0094-pro&amp;Asfaltauto 16-25 ton; 240 kW; PER UUR (o.b.v. 806 MJ Diesel, burned in building machine {GLO}| processing | Cut-off, U)</t>
  </si>
  <si>
    <t>0096-pro&amp;Sproeiwagen, 4000 l, per uur (o.b.v. 108 MJ Diesel, burned in building machine {GLO}| market for | Cut-off, U)</t>
  </si>
  <si>
    <t>0097-pro&amp;Transport, bedrijfswagen, per uur (o.b.v. 75 km Transport, passenger car, medium size, diesel, EURO 5 {GLO}| market for | Cut-off, U)</t>
  </si>
  <si>
    <t>0098-pro&amp;Vrachtwagen 25-28t; 240 kW; PER UUR (o.b.v. 806 MJ Diesel, burned in building machine {GLO}| processing | Cut-off, U)</t>
  </si>
  <si>
    <t>0100-pro&amp;Truckmixer, per uur (o.b.v. Diesel, burned in building machine {GLO}| market for | Cut-off, U; 2009) HOEVEELHEID = ONNAVOLGBAAR</t>
  </si>
  <si>
    <t>0101-pro&amp;Sleephopperzuiger, 2000-6000 ton (5000 m3), per uur (o.b.v. 255 l Diesel, gasolie, gebruik, liter (o.b.v. 35,8 MJ Diesel, burned in building machine {GLO}| processing | Cut-off, U))</t>
  </si>
  <si>
    <t>0102-pro&amp;Benzine, gebruik, per km (o.b.v. Transport, passenger car, medium size, petrol, EURO 4 {RER} | Alloc Rec, U; AANGEPAST)</t>
  </si>
  <si>
    <t>0104-pro&amp;Dumper 20-35 ton laadvermogen (o.b.v. 1 tkm Transport, freight, lorry, unspecified {GLO}| market group for | Cut-off, U)</t>
  </si>
  <si>
    <t>0105-pro&amp;Dragline, 5-8 m lg, per uur (o.b.v. Kraan hydr.tele. band (gemiddeld))</t>
  </si>
  <si>
    <t>0107-pro&amp;Compressor, diesel, 3.5-10.0 m3/min, per uur (o.b.v. 13,5 l Diesel, gasolie, gebruik, liter (o.b.v. 35,8 MJ Diesel, burned in building machine {GLO}| processing | Cut-off, U))</t>
  </si>
  <si>
    <t>0108-pro&amp;Cutterzuiger 350-600 mm zuigbuis, per uur (o.b.v. 178,5 l Diesel, gasolie, gebruik, liter (o.b.v. 35,8 MJ Diesel, burned in building machine {GLO}| processing | Cut-off, U))</t>
  </si>
  <si>
    <t>0110-pro&amp;Asfaltauto 34 ton; 270 kW; PER UUR (o.b.v. 906 MJ Diesel, burned in building machine {GLO}| processing | Cut-off, U)</t>
  </si>
  <si>
    <t>0112-pro&amp;Grader, per uur (o.b.v. 649 MJ Diesel, burned in building machine {GLO}| market for | Cut-off, U)</t>
  </si>
  <si>
    <t>0115-pro&amp;Graafmachine, per uur (o.b.v. 572 MJ Diesel, burned in building machine {GLO}| market for | Cut-off, U)</t>
  </si>
  <si>
    <t>0116-pro&amp;Afwerkmachine asfalt (o.b.v. 502 MJ Diesel, burned in building machine {GLO}| market for | Cut-off, U)</t>
  </si>
  <si>
    <t>0118-pro&amp;Heistelling, mob.rups. 300-500kN, palentrilset, per uur (o.b.v. 199 kWh Diesel, burned in building machine {GLO}| market for | Cut-off, U)</t>
  </si>
  <si>
    <t>0119-pro&amp;Hulpmachine asfalt (= 0-waarden; zonder bronvermelding)</t>
  </si>
  <si>
    <t>0120-pro&amp;Koudfrees, per kg (o.b.v. 0,0357 MJ Diesel, burned in building machine {GLO}| market for | Cut-off, U; bron uit 1993)</t>
  </si>
  <si>
    <t>0121-pro&amp;Kraan hydr.tele. band, per uur (o.b.v. 263 kWh Diesel, burned in building machine {GLO}| market for | Cut-off, U)</t>
  </si>
  <si>
    <t>0122-pro&amp;Heiblok, diesel, per uur (o.b.v. 283 kWh Diesel, burned in building machine {GLO}| market for | Cut-off, U)</t>
  </si>
  <si>
    <t>0125-pro&amp;Hydraulisch trilblok, per vermogen, per uur (o.b.v. 2,2 kWh Diesel, burned in building machine {GLO}| market for | Cut-off, U)</t>
  </si>
  <si>
    <t>0127-pro&amp;Persleiding wal (o.b.v. 7,15E-5 Diesel, burned in building machine {GLO}| market for | Cut-off, U)</t>
  </si>
  <si>
    <t>kgkm</t>
  </si>
  <si>
    <t>0128-pro&amp;Pomp, centrifugaal, diesel 4-15 kW, per uur (o.b.v. 43,5 MJ Diesel, burned in building machine {GLO}| market for | Cut-off, U)</t>
  </si>
  <si>
    <t>0129-pro&amp;Ponton, per uur (=LEEG PROCES)</t>
  </si>
  <si>
    <t>0131-pro&amp;Sloophamer, hydr.aanb., 600-1900 kg, per uur (o.b.v. 1800 MJ Diesel, burned in building machine {GLO}| market for | Cut-off, U)</t>
  </si>
  <si>
    <t>0132-pro&amp;Tractor verm. 40-110 kW; 4%4, per uur (o.b.v. 343 MJ Diesel, burned in building machine {GLO}| market for | Cut-off, U)</t>
  </si>
  <si>
    <t>0135-pro&amp;Vrachtwagen, reiniging - veeg/zuig, 6-8 m3, per uur (o.b.v. 806 MJ Diesel, burned in building machine {GLO}| processing | Cut-off, U)</t>
  </si>
  <si>
    <t>0136-pro&amp;Wals, per m2 (o.b.v 0,80 MJ Diesel, burned in building machine {GLO}| market for | Cut-off, U; data uit 2000)</t>
  </si>
  <si>
    <t>0137-pro&amp;Werkvlet  175-280 kW (o.b.v. 21,3 MJ Diesel, burned in building machine {GLO}| market for | Cut-off, U)</t>
  </si>
  <si>
    <t>0138-pro&amp;Werkvlet  360-590 kW (o.b.v. 44,4 MJ Diesel, burned in building machine {GLO}| market for | Cut-off, U)</t>
  </si>
  <si>
    <t>0139-pro&amp;Wiellader, voor grond en zandwerk, per uur (o.b.v. 473 MJ Diesel, burned in building machine {GLO}| market for | Cut-off, U)</t>
  </si>
  <si>
    <t>0141-pro&amp;Transport, vrachtwagen+kraan ==&gt;VERWIJST O.B.V. 2002 BRON UITSLUITEND NAAR TRANSPORT (Transport, freight, lorry, unspecified {GLO}| market group for | Cut-off, U)</t>
  </si>
  <si>
    <t>0143-pro&amp;Slipform paver, per uur (o.b.v. 1230 MJ Diesel, burned in building machine {GLO}| market for | Cut-off, U)</t>
  </si>
  <si>
    <t>0145-pro&amp;Multicat 520 kW, per uur (o.b.v. 2,38E3 MJ/uur Diesel, burned in building machine {GLO}| market for | Cut-off, U)</t>
  </si>
  <si>
    <t>0146-pro&amp;Backhoe, per uur (o.b.v. 288 MJ Diesel, burned in building machine {GLO}| market for | Cut-off, U)</t>
  </si>
  <si>
    <t>0148-fab&amp;Betonbuis (o.b.v. Concrete roof tile {GLO}| market for | Cut-off, U)</t>
  </si>
  <si>
    <t>0149-fab&amp;Betontegels, straattegels (o.b.v. Concrete roof tile {GLO}| market for | Cut-off, U)</t>
  </si>
  <si>
    <t>0173-fab&amp;Asfalt, DAB, dicht asfaltbeton, partiële recycling 0%</t>
  </si>
  <si>
    <t>0190-fab&amp;Grond, licht verontreinigd (= 0-waarden; onderbouwd niet gealloceerd)</t>
  </si>
  <si>
    <t>0204-fab&amp;Asfalt, STAB, steenslagasfaltbeton, partiële recycling 0% (o.b.v. 2002 informatie)</t>
  </si>
  <si>
    <t>0212-fab&amp;Asfaltmastiek</t>
  </si>
  <si>
    <t>0218-fab&amp;Asfalt, LTA, laagtemperatuurasfalt (= gekarakteriseerde effectscores 2008)</t>
  </si>
  <si>
    <t>0219-fab&amp;Asfalt, EME, Enrobé à Module Élevé, asfalt met verhoogde stijfheidsmodulus (= "Asfalt, DAB, dicht asfaltbeton, partiële recycling 0%")</t>
  </si>
  <si>
    <t>0221-fab&amp;Gres, gresbuis (bron niet gedateerd; geen ecoinvent proces voorhanden)</t>
  </si>
  <si>
    <t>0330-pro&amp;MDO-verbruik, Baggerschip, per kg (o.b.v. TNO/RWS Scheepsbrandstoffen, Marine Diesel Oil, 42 MJ/kg, c2) LET OP GEEN SET 2</t>
  </si>
  <si>
    <t>0331-pro&amp;Bio-LNG-verbruik, Baggerschip, per kg (o.b.v. TNO/RWS Scheepsbrandstoffen, Bio-Liquefied Natural Gas, 49 MJ/kg, c2) LET OP GEEN SET 2</t>
  </si>
  <si>
    <t>0332-pro&amp;GTL-verbruik, Baggerschip, per kg (o.b.v. TNO/RWS Scheepsbrandstoffen, Gas-to-Liquid, 43 MJ/kg, c2) LET OP GEEN SET 2</t>
  </si>
  <si>
    <t>0333-pro&amp;Waterstof-verbruik, Baggerschip, per kg (o.b.v. TNO/RWS Scheepsbrandstoffen, Hydrogen, 120 MJ/kg, c2) LET OP GEEN SET 2</t>
  </si>
  <si>
    <t>0334-pro&amp;HFO-verbruik, Baggerschip, per kg (o.b.v. TNO/RWS Scheepsbrandstoffen, Heavy Fuel Oil, 41 MJ/kg, c2) LET OP GEEN SET 2</t>
  </si>
  <si>
    <t>0347-pro&amp;LNG-verbruik, Baggerschip, per kg (o.b.v. TNO/RWS Scheepsbrandstoffen, Liquefied Natural Gas, 49 MJ/kg, c2) LET OP GEEN SET 2</t>
  </si>
  <si>
    <t>0348-pro&amp;HVO-verbruik, Baggerschip, per kg (o.b.v. TNO/RWS Scheepsbrandstoffen, Hydrotreated Vegetable Oil, 44 MJ/kg, c2) LET OP GEEN SET 2</t>
  </si>
  <si>
    <t>0462-fab&amp;Epoxyhars, vloeibaar (o.b.v. Epoxy resin, liquid {RER}| market for epoxy resin, liquid | Cut-off, U) =0461</t>
  </si>
  <si>
    <t>0465-fab&amp;Glasvezel (o.b.v. Glass fibre {GLO}| market for | Cut-off, U) =374</t>
  </si>
  <si>
    <t>0471-pro&amp;HVO, pre Tier I, totaal A1-D, per kg HVO (o.b.v. TNO Scheepsbrandstoffen, 2021)</t>
  </si>
  <si>
    <t>0472-pro&amp;HVO, pre Tier I, totaal A1-D + SCR (Tier III), per kg HVO (o.b.v. TNO Scheepsbrandstoffen, 2021)</t>
  </si>
  <si>
    <t>0473-pro&amp;HVO, Tier II, totaal A1-D, per kg HVO (o.b.v. TNO Scheepsbrandstoffen, 2021)</t>
  </si>
  <si>
    <t>0475-pro&amp;MGO, pre Tier I, totaal A1-D, per kg MGO (o.b.v. TNO Scheepsbrandstoffen, 2021)</t>
  </si>
  <si>
    <t>0476-pro&amp;MGO, pre Tier I, totaal A1-D + SCR (Tier III), per kg MGO (o.b.v. TNO Scheepsbrandstoffen, 2021)</t>
  </si>
  <si>
    <t>0477-pro&amp;MGO, Tier II, totaal A1-D, per kg MGO (o.b.v. TNO Scheepsbrandstoffen, 2021)</t>
  </si>
  <si>
    <t>Achtergrond&amp;Vlasplant, teelt, inclusief vervezelen, zonder opname van CO2 (o.b.v. zie opbouw proces)</t>
  </si>
  <si>
    <t>Opname CO2 weggehaald om voorkomen dubbeltellen</t>
  </si>
  <si>
    <t>Correctie van fout. Alleen in Ecoinvent 3.9.1 versie</t>
  </si>
  <si>
    <t>Sawnwood, beam, softwood, dried (u=10%), planed {Europe without Switzerland}| planing, beam, softwood, u=10% | Cut-off, U</t>
  </si>
  <si>
    <t>0275-reD&amp;Module D, houten balk, per kg NETTO geleverd (o.b.v. Sawnwood, beam, softwood, dried (u=10%), planed {Europe without Switzerland}| planing, beam, softwood, u=10% | Cut-off, U)</t>
  </si>
  <si>
    <t>RoW proces vervangen door RER</t>
  </si>
  <si>
    <t>Aanpassing alleen mogelijk in Ecoinvent 3.9.1 versie</t>
  </si>
  <si>
    <t>Sawnwood, beam, softwood, dried (u=10%), planed {RoW}| planing, beam, softwood, u=10% | Cut-off, U</t>
  </si>
  <si>
    <t>0077-fab&amp;Hout, multiplex, buitentoepassing (o.b.v. Plywood {RER}| market for | Cut-off, U en 753,366 kg/m3; 100% primair, 0% secundair)</t>
  </si>
  <si>
    <t>Weer specifiek gemaakt voor multiplex voor buitentoepassing</t>
  </si>
  <si>
    <t>Melamine formaldehyde resin {RER}| market for melamine formaldehyde resin | Cut-off, U</t>
  </si>
  <si>
    <t>Urea formaldehyde resin {RER}| market for urea formaldehyde resin | Cut-off, U</t>
  </si>
  <si>
    <t>Proces weer specifiek gemaakt voor multiplex voor buitentoepassing aangezien het onderscheid in ecoinvent 3.9.1 niet meer werd gemaakt. Hierbij is uitgegaan van verschillen tussen multiplex voor binnen- en buitentoepassing op basis van de inventarisatie in ecoinvent 3.6. Voor de hoeveelheden gebruikte hars is wel ecoinvent 3.9.1 aangehouden. Wijziging alleen nodig in ecoinvent 3.9.1 versie.</t>
  </si>
  <si>
    <t>Correctie voor fout dubbel minteken</t>
  </si>
  <si>
    <t>Inputs from nature: Carbon dioxide, in air</t>
  </si>
  <si>
    <t>0022-fab&amp;Vlas</t>
  </si>
  <si>
    <t>Inventarisatie geupdatet met informatie uit relatief nieuwe vlas processen</t>
  </si>
  <si>
    <t>Input from nature: Unspecified input</t>
  </si>
  <si>
    <t>Update van oud proces met nieuwere informatie over productie van vlas vezels</t>
  </si>
  <si>
    <t>0186-fab&amp;Hoogovenslakmengsel (NVLB: C) (aangehouden = 0-waarden want 'vrij van milieulast', al is waarschijnlijk sprake van co-productie)</t>
  </si>
  <si>
    <t>Aanpassing inventarisatie a.d.h.v. PCR Cement</t>
  </si>
  <si>
    <t>Hoogovenslak, bijproduct van ruwijzer productie (allocatie 1%)</t>
  </si>
  <si>
    <t>Aanpassing om proces in lijn te brengen met PCR Cement</t>
  </si>
  <si>
    <t>0699-avC&amp;Verbranden cellulose vezels incl. zouten (o.b.v. Waste wood, untreated {CH}| treatment of waste wood, untreated, municipal incineration | Cut-off, U) (gebruik icm 0049 en 0074)</t>
  </si>
  <si>
    <t>Naamswijziging</t>
  </si>
  <si>
    <t>0704-sto&amp;Stort cellulose vezels incl. zouten (o.b.v. Waste wood, untreated {RoW}| treatment of waste wood, untreated, sanitary landfill | Cut-off, U) (gebruik icm 0049 en 0074)</t>
  </si>
  <si>
    <t>Naamswijziging om aan te geven dat proces niet meer geschikt is voor verwerking van riet. Tevens aangegeven icm welke productie processen het proces gebruikt kan worden.</t>
  </si>
  <si>
    <t>0707-avC&amp;Verbranden stro, Miscanthus, riet (o.b.v. Waste wood, untreated {CH}| treatment of waste wood, untreated, municipal incineration | Cut-off, U) (gebruik icm 0053 en 0449)</t>
  </si>
  <si>
    <t>0708-sto&amp;Stort stro, Miscanthus, riet (o.b.v. Waste wood, untreated {RoW}| treatment of waste wood, untreated, sanitary landfill | Cut-off, U) (gebruik icm 0053 en 0449)</t>
  </si>
  <si>
    <t>Naamswijziging om aan te geven dat proces geschikt is voor verwerking van riet. Tevens aangegeven icm welke productie processen het proces gebruikt kan worden.</t>
  </si>
  <si>
    <t>0036-fab&amp;Poedercoating, poederlak, moffellaag, op staal (o.b.v. Powder coat, steel {GLO}| market for | Cut-off, U; 1 m2 = 0,1 kg)</t>
  </si>
  <si>
    <t>Naamswijziging om aan te geven dat het een poedercoating op staal betreft</t>
  </si>
  <si>
    <t>Naamswijziging: secundair gehalte toegevoegd aan naam</t>
  </si>
  <si>
    <t>0054-fab&amp;Staal, staalplaat, gemoffeld (o.b.v. 98,6% Steel, unalloyed {GLO}, Hot rolling, steel, Sheet rolling, steel + 1,4% Powder coat, steel {GLO}; 20,7% secundair)</t>
  </si>
  <si>
    <t>0416-fab&amp;Staal, draad, laaggelegeerd, verzinkt (o.b.v. 98,6% Steel, low-alloyed {GLO} + Hot rolling + Wire drawing; 1,4% Zinc {GLO}| market for | Cut-off, U + Zinc coat, coils; 31,16% secundair)</t>
  </si>
  <si>
    <t>0417-fab&amp;Staal, ongelegeerd, verzinkt (o.b.v. 98,6% Steel, unalloyed {GLO}| market for | Cut-off, U + Hot rolling, steel; 1,4% Zinc {GLO}| market for | Cut-off, U + Zinc coat, coils; 20,7% secundair)</t>
  </si>
  <si>
    <t>0431-fab&amp;Staal, mangaanstaal, legering t.b.v. puntstuk in spoorwissel (o.b.v. 85% Iron scrap, sorted {GLO} &amp; 13,9% Ferromanganese, high-coal, 74,5% Mn {GLO}; 85% secundair)</t>
  </si>
  <si>
    <t>0056-fab&amp;Messing (o.b.v. Brass {RoW}| production | Cut-off, U; totaal 86,1% primair, 13,9% secundair (70% koper waarvan 80,1% primair, 19,9% secundair; 30% zink waarvan 100% primair))</t>
  </si>
  <si>
    <t>Naamswijziging: totaal secundair gehalte toegevoegd aan naam ivm invoermodule</t>
  </si>
  <si>
    <t>0245-sto&amp;Stort hout, 'schoon' (o.b.v. Waste wood, untreated {Europe without Switzerland}| treatment of waste wood, untreated, sanitary landfill | Cut-off, U) (gebruik icm 0024, 0027, 0067 en 0381)</t>
  </si>
  <si>
    <t>0246-sto&amp;Stort hout, geschilderd (o.b.v. 99% Waste wood, untreated en 1% Waste paint {EU}| treatment of, sanitary landfill | Cut-off, U) (gebruik icm 0024, 0027, 0067 en 0381)</t>
  </si>
  <si>
    <t>0262-avC&amp;Verbranden hout, 'schoon' (13,99 MJ/kg) (o.b.v. Waste wood, untreated {CH}| treatment of, municipal incineration | Cut-off, U) (gebruik icm 0024, 0027, 0067 en 0381)</t>
  </si>
  <si>
    <t>0263-avC&amp;Verbranden hout, verontreinigd (13,99 MJ/kg) (o.b.v. Waste building wood, chrome preserved {CH}| treatment of, municipal incineration | Cut-off, U) (gebruik icm 0024, 0027, 0067 en 0381)</t>
  </si>
  <si>
    <t>0284-reC&amp;Verspanen hout (o.b.v. Wood chipping, industrial residual wood, stationary electric chipper {GLO}| market for | Cut-off, U) (gebruik icm 0024, 0027, 0067 en 0381)</t>
  </si>
  <si>
    <t>0285-reC&amp;Schaven hout (o.b.v. aangepaste Sawnwood, beam, softwood, dried (u=10%), planed {RoW}| planing, beam, softwood, u=10% | Cut-off, U) (gebruik icm 0024, 0027, 0067 en 0381)</t>
  </si>
  <si>
    <t>0668-sto&amp;Stort hout, ongecontroleerd ('laten zitten') (o.b.v. Waste wood, untreated {GLO}| treatment of waste wood, untreated, unsanitary landfill, moist infiltration class (300mm) | Cut-off, U; u=10%, koolstof = 0,494 kg C/kg dry matter) (gebruik icm 0024, 0027, 0067 en 0381)</t>
  </si>
  <si>
    <t>0669-sto&amp;Stort hout, 'schoon' (o.b.v. Waste wood, untreated {Europe without Switzerland}| treatment of waste wood, untreated, sanitary landfill | Cut-off, U; u=15%, koolstof = 0,494 kg C/kg dry matter) (gebruik icm 0071, 0182, 0201, 0291, 0298 en 0453)</t>
  </si>
  <si>
    <t>0670-sto&amp;Stort hout, geschilderd (o.b.v. 99% Waste wood, untreated en 1% Waste paint {EU}| treatment of, sanitary landfill | Cut-off, U; u=15%, koolstof = 0,494 kg C/kg dry matter) (gebruik icm 0071, 0182, 0201, 0291, 0298 en 0453)</t>
  </si>
  <si>
    <t>0671-sto&amp;Stort hout, ongecontroleerd ('laten zitten') (o.b.v. Waste wood, untreated {GLO}| treatment of waste wood, untreated, unsanitary landfill, moist infiltration class (300mm) | Cut-off, U; u=15%, koolstof = 0,494 kg C/kg dry matter) (gebruik icm 0071, 0182, 0201, 0291, 0298 en 0453)</t>
  </si>
  <si>
    <t>0672-avC&amp;Verbranden hout, 'schoon' (13,99 MJ/kg) (o.b.v. Waste wood, untreated {CH}| treatment of, municipal incineration | Cut-off, U; u=15%, koolstof = 0,494 kg C/kg dry matter) (gebruik icm 0071, 0182, 0201, 0291, 0298 en 0453)</t>
  </si>
  <si>
    <t>0673-avC&amp;Verbranden hout, verontreinigd (13,99 MJ/kg) (o.b.v. Waste building wood, chrome preserved {CH}| treatment of, municipal incineration | Cut-off, U; u=15%, koolstof = 0,494 kg C/kg dry matter) (gebruik icm 0071, 0182, 0201, 0291, 0298 en 0453)</t>
  </si>
  <si>
    <t>0674-reC&amp;Verspanen hout (o.b.v. Wood chipping, industrial residual wood, stationary electric chipper {GLO}| market for | Cut-off, U; u=15%, koolstof = 0,494 kg C/kg dry matter) (gebruik icm 0071, 0182, 0201, 0291, 0298 en 0453)</t>
  </si>
  <si>
    <t>0675-sto&amp;Stort hout, 'schoon', plaatmateriaal (o.b.v. Waste wood, untreated {Europe without Switzerland}| treatment of waste wood, untreated, sanitary landfill | Cut-off, U; u=5,17%, koolstof = 0,4704 kg C/kg dry matter) (gebruik icm 0023, 0038 en 0072)</t>
  </si>
  <si>
    <t>0676-sto&amp;Stort hout, geschilderd, plaatmateriaal (o.b.v. 99% Waste wood, untreated en 1% Waste paint {EU}| treatment of, sanitary landfill | Cut-off, U; u=5,17%, koolstof = 0,4704 kg C/kg dry matter) (gebruik icm 0023, 0038 en 0072)</t>
  </si>
  <si>
    <t>0677-sto&amp;Stort houten plaatmateriaal, ongecontroleerd ('laten zitten') (o.b.v. Waste wood, untreated {GLO}| treatment of waste wood, untreated, unsanitary landfill, moist infiltration class (300mm) | Cut-off, U; u=5,17%, koolstof = 0,4704 kg C/kg dry matter) (gebruik icm 0023, 0038 en 0072)</t>
  </si>
  <si>
    <t>0678-avC&amp;Verbranden hout, 'schoon' plaatmateriaal (13,99 MJ/kg) (o.b.v. Waste wood, untreated {CH}| treatment of, municipal incineration | Cut-off, U; u=5,17%, koolstof = 0,4704 kg C/kg dry matter) (gebruik icm 0023, 0038 en 0072)</t>
  </si>
  <si>
    <t>0679-avC&amp;Verbranden hout, verontreinigd plaatmateriaal (13,99 MJ/kg) (o.b.v. Waste building wood, chrome preserved {CH}| treatment of, municipal incineration | Cut-off, U; u=5,17%, koolstof = 0,4704 kg C/kg dry matter) (gebruik icm 0023, 0038 en 0072)</t>
  </si>
  <si>
    <t>0680-reC&amp;Verspanen houtachtig plaatmateriaal (o.b.v. Wood chipping, industrial residual wood, stationary electric chipper {GLO}| market for | Cut-off, U; u=5,17%, koolstof = 0,4704 kg C/kg dry matter) (gebruik icm 0023, 0038 en 0072)</t>
  </si>
  <si>
    <t>0681-sto&amp;Stort hout, 'schoon', plaatmateriaal met hoog lijmgehalte (o.b.v. Waste wood, untreated {Europe without Switzerland}| treatment of waste wood, untreated, sanitary landfill | Cut-off, U; u=6,66%, koolstof = 0,4318 kg C/kg dry matter) (gebruik icm 0010, 0021, 0044, 0069 en 0077)</t>
  </si>
  <si>
    <t>0682-sto&amp;Stort hout, geschilderd, plaatmateriaal met hoog lijmgehalte (o.b.v. 99% Waste wood, untreated en 1% Waste paint {EU}| treatment of, sanitary landfill | Cut-off, U; u=6,66%, koolstof = 0,4318 kg C/kg dry matter) (gebruik icm 0010, 0021, 0044, 0069 en 0077)</t>
  </si>
  <si>
    <t>0683-sto&amp;Stort houten plaatmateriaal met hoog lijmgehalte, ongecontroleerd ('laten zitten') (o.b.v. Waste wood, untreated {GLO}| treatment of waste wood, untreated, unsanitary landfill, moist infiltration class (300mm) | Cut-off, U; u=6,66%, koolstof = 0,4318 kg C/kg dry matter) (gebruik icm 0010, 0</t>
  </si>
  <si>
    <t>0684-avC&amp;Verbranden hout, 'schoon' plaatmateriaal met hoog lijmgehalte (13,99 MJ/kg) (o.b.v. Waste wood, untreated {CH}| treatment of, municipal incineration | Cut-off, U; u=6,66%, koolstof = 0,4318 kg C/kg dry matter) (gebruik icm 0010, 0021, 0044, 0069 en 0077)</t>
  </si>
  <si>
    <t>0685-avC&amp;Verbranden hout, verontreinigd plaatmateriaal met hoog lijmgehalte (13,99 MJ/kg) (o.b.v. Waste building wood, chrome preserved {CH}| treatment of, municipal incineration | Cut-off, U; u=6,66%, koolstof = 0,4318 kg C/kg dry matter) (gebruik icm 0010, 0021, 0044, 0069 en 0077)</t>
  </si>
  <si>
    <t>0686-reC&amp;Verspanen houtachtig plaatmateriaal met hoog lijmgehalte (o.b.v. Wood chipping, industrial residual wood, stationary electric chipper {GLO}| market for | Cut-off, U ; u=6,66%, koolstof = 0,4327 kg C/kg dry matter) (gebruik icm 0010, 0021, 0044, 0069 en 0077)</t>
  </si>
  <si>
    <t>0687-avC&amp;Verbranden houtvezelcementplaat (2,80 MJ/kg) (o.b.v. Waste cement-fibre slab, dismantled {CH}| treatment of waste cement-fibre slab, municipal incineration | Cut-off, U; 20% biogeen) (gebruik icm 0687)</t>
  </si>
  <si>
    <t>0689-avC&amp;Verbranden houtwolcementplaat (4,62 MJ/kg) (o.b.v. Waste cement-fibre slab, dismantled {CH}| treatment of waste cement-fibre slab, municipal incineration | Cut-off, U; 33% biogeen) (gebruik icm 0076)</t>
  </si>
  <si>
    <t>0696-avC&amp;Verbranden papier/karton (15,92 MJ/kg) (o.b.v. Waste paperboard {RoW}| treatment of waste paperboard, municipal incineration | Cut-off, U) (gebruik icm 0058)</t>
  </si>
  <si>
    <t>0697-avC&amp;Verbranden natuurlijke vezels, hennep, vlas (o.b.v. Waste wood, untreated {CH}| treatment of waste wood, untreated, municipal incineration | Cut-off, U) (gebruik icm 0660-0662, 0664-0666 en 0777)</t>
  </si>
  <si>
    <t>0698-avC&amp;Verbranden jute (o.b.v. Waste wood, untreated {CH}| treatment of waste wood, untreated, municipal incineration | Cut-off, U) (gebruik icm 0187)</t>
  </si>
  <si>
    <t>0700-avC&amp;Verbranden schapenwol, isolatie (o.b.v. Municipal solid waste {NL}| treatment of, incineration | Cut-off, U) (gebruik icm 0073 en 0658)</t>
  </si>
  <si>
    <t>0701-sto&amp;Stort papier/karton (o.b.v. Waste paperboard {RoW}| treatment of waste paperboard, sanitary landfill | Cut-off, U) (gebruik icm 0058)</t>
  </si>
  <si>
    <t>0702-sto&amp;Stort natuurlijke vezels, hennep, vlas (o.b.v. Waste wood, untreated {RoW}| treatment of, sanitary landfill | Cut-off, U) (gebruik icm 0660-0662, 0664-0666 en 0777)</t>
  </si>
  <si>
    <t>0703-sto&amp;Stort jute (o.b.v. Waste wood, untreated {RoW}| treatment of waste wood, untreated, sanitary landfill | Cut-off, U) (gebruik icm 0187)</t>
  </si>
  <si>
    <t>0705-sto&amp;Stort schapenwol, isolatie (o.b.v. Municipal solid waste {RoW}| treatment of municipal solid waste, sanitary landfill | Cut-off, U) (gebruik icm 0073 en 0658)</t>
  </si>
  <si>
    <t>0722-avC&amp;Verbranden gewolmaniseerd hout, verontreinigd (13,99 MJ/kg) (o.b.v. Waste building wood, chrome preserved {CH}| treatment of, municipal incineration | Cut-off, U; u=9,6%, koolstof = 0,476 kg C/kg dry matter) (gebruik icm 0180)</t>
  </si>
  <si>
    <t>0723-avC&amp;Verbranden gecreosoteerd hout, verontreinigd (13,99 MJ/kg) (o.b.v. Waste building wood, chrome preserved {CH}| treatment of, municipal incineration | Cut-off, U; u=8,14%, biogeen koolstof = 0,402 kg C/kg dry matter) (gebruik icm 0177)</t>
  </si>
  <si>
    <t>0724-sto&amp;Stort gewolmaniseerd hout (o.b.v. Waste wood, untreated {Europe without Switzerland}| treatment of waste wood, untreated, sanitary landfill | Cut-off, U; u=9,6%, koolstof = 0,476 kg C/kg dry matter) (gebruik icm 0180)</t>
  </si>
  <si>
    <t>0725-sto&amp;Stort gecreosoteerd hout (o.b.v. Waste wood, untreated {Europe without Switzerland}| treatment of waste wod, untreated, sanitary landfill | Cut-off, U; u=8,14%, koolstof = 0,402 kg C/kg dry matter) (gebruik icm 0177)</t>
  </si>
  <si>
    <t>Naamswijziging om aan te gegeven icm welke productie processen het proces gebruikt kan worden voor een correcte biogeen CO2 balans</t>
  </si>
  <si>
    <t>0433-pro&amp;Warmwalsen, staal (o.b.v. Hot rolling, steel {Europe without Austria}| hot rolling, steel | Cut-off, U)</t>
  </si>
  <si>
    <t>0436-pro&amp;Metaalbewerking, exclusief materiaal verliezen (o.b.v. Energy and auxilliary inputs, metal working machine {RER}| market for energy and auxilliary inputs, metal working machine | Cut-off, U)</t>
  </si>
  <si>
    <t>0609-pro&amp;Walsen, koudvormen, staal (o.b.v. Sheet rolling, steel {GLO}| market for | Cut-off, U)</t>
  </si>
  <si>
    <t>Naamswijziging ter verduidelijking van proces</t>
  </si>
  <si>
    <t>0004-fab&amp;Betonmortel C20/25 (o.b.v. 75% CEM III/B en 25% CEM I), 2340,50 kg/m3</t>
  </si>
  <si>
    <t>Tap water {RER}| market group for tap water | Cut-off, U</t>
  </si>
  <si>
    <t>BD Mortel processing (2008)</t>
  </si>
  <si>
    <t>Transport, freight, inland waterways, barge {GLO}| market group for transport, freight, inland waterways, barge | Cut-off, U</t>
  </si>
  <si>
    <t>Concrete mixing factory {GLO}| market for concrete mixing factory | Cut-off, U</t>
  </si>
  <si>
    <t>p</t>
  </si>
  <si>
    <t>0494-pro&amp;Elektriciteit, grijs, bij consument, per kWh (73,4% gas, 16,3% kolen, 5,7% nuclear, 2,2% olie, 2,3% overig) (o.b.v. zie toelichting in proces), (01-2031)</t>
  </si>
  <si>
    <t>kWh</t>
  </si>
  <si>
    <t>0335-pro&amp;Dieselverbruik, bouwmachine cat. IIIB, 75-130kW, per l (diesel: 35,9 MJ/liter en 0,832 kg/liter)</t>
  </si>
  <si>
    <t>l</t>
  </si>
  <si>
    <t>0111-pro&amp;Aardgas, verbrand, bij consument, per m3 (o.b.v. zie toelichting in proces), (01-2031)</t>
  </si>
  <si>
    <t>Inventarisatie geupdatet met informatie uit relatief nieuw proces (0726), en 0726 verwijderd ivm dubbele processen. Tevens kapitaalgoederen toegevoegd</t>
  </si>
  <si>
    <t>Vanwege dubbele processen 0004 en 0726. Ene proces (0726) verwijderd en 0004 geupdate met de nieuwste data. Ivm het ontbreken van kapitaalgoederen bij betonmortels, deze toegevoegd obv inventarisatie ecoinvent.</t>
  </si>
  <si>
    <t>0205-fab&amp;Steenslag, groeve, excl. transport EU groeve-NL (o.b.v. Steenslag uit groeve in Europa exclusief transport naar Nederland [PCR Asfalt])</t>
  </si>
  <si>
    <t>Aanpassing ivm verwijderen proces 0121</t>
  </si>
  <si>
    <t>0095-pro&amp;Diesel, gasolie, gebruik, liter (o.b.v. 35,8 MJ Diesel, burned in building machine {GLO}| processing | Cut-off, U)</t>
  </si>
  <si>
    <t>0109-pro&amp;benzine, gebruik, per liter (o.b.v. 16,11 km Bezine, gebruik, per km (o.b.v. Transport, passenger car, medium size, petrol, EURO 5 {RER}| transport, passenger car, medium size, petrol, EURO 5 | Cut-off, U)</t>
  </si>
  <si>
    <t>Aanpassing ivm verwijderen proces 0102</t>
  </si>
  <si>
    <t>L</t>
  </si>
  <si>
    <t>Transport, passenger car, medium size, petrol, EURO 5 {RER}| transport, passenger car, medium size, petrol, EURO 5 | Cut-off, U</t>
  </si>
  <si>
    <t>Passenger car maintenance {RER}| maintenance, passenger car | Cut-off, U</t>
  </si>
  <si>
    <t>Passenger car, petrol/natural gas {GLO}| market for passenger car, petrol/natural gas | Cut-off, U</t>
  </si>
  <si>
    <t>Road {GLO}| market for road | Cut-off, U</t>
  </si>
  <si>
    <t>my</t>
  </si>
  <si>
    <t>Road maintenance {RER}| market for road maintenance | Cut-off, U</t>
  </si>
  <si>
    <t>Aanpassing ivm verwijderen proces 0121. Resultaten zijn niet gewijzigd omdat het proces 0121 gebaseerd is op hetzelfde onderliggende ecoinventproces als 0095</t>
  </si>
  <si>
    <t>Aanpassing ivm verwijderen proces 0102. ipv een kopie van proces Transport, passenger car, medium size, wordt nu direct verwezen naar Transport, passenger car, medium size, petrol, EURO 5 {RER}. Om alleen het dieselverbruik te kunnen toerekenen worden kapitaalgoederen en onderhoudsprocessen afgetrokken in het NMD proces</t>
  </si>
  <si>
    <t>0406-fab&amp;Vulstof middelsoort+hydroxide SVC (o.b.v. 70% Lime, milled, loose {Europe without Switzerland} en 30% Lime, hydrated, packed {RER})</t>
  </si>
  <si>
    <t>Aanpassing aan voorgeschreven inventarisatie PCR Asfalt 2.0</t>
  </si>
  <si>
    <t>Limestone, crushed, washed {RoW}| market for limestone, crushed, washed | Cut-off, U</t>
  </si>
  <si>
    <t>Lime, hydraulic {RER}| market for lime, hydraulic | Cut-off, U</t>
  </si>
  <si>
    <t>Inventarisatie aangepast naar juist samenstelling Vulstof middelsoort volgens PCR Asfalt 2.0</t>
  </si>
  <si>
    <t>Lime {Europe without Switzerland}| lime production, milled, loose | Cut-off, U</t>
  </si>
  <si>
    <t>Lime, hydrated, packed {RER}| market for lime, hydrated, packed | Cut-off, U</t>
  </si>
  <si>
    <t>0479-reC&amp;Thermisch reinigen, grond, per kg</t>
  </si>
  <si>
    <t>Heat, district or industrial, other than natural gas {CH}| heat production, light fuel oil, at industrial furnace 1MW | Cut-off, U</t>
  </si>
  <si>
    <t>Electricity, low voltage {NL}| market for electricity, low voltage | Cut-off, U</t>
  </si>
  <si>
    <t>Update inventarisatie</t>
  </si>
  <si>
    <t xml:space="preserve">Update van inventarisatie adhv nieuwe gegevens. </t>
  </si>
  <si>
    <t>0277-reD&amp;Module D, koper, per kg NETTO geleverd schroot (vermeden: Grondstoffen equivalent globale marktmix koper)</t>
  </si>
  <si>
    <t>Aanpassing inventarisatie om in lijn te zijn met andere module D processen metalen</t>
  </si>
  <si>
    <t>Copper, cathode {RER}| treatment of copper scrap by electrolytic refining | Cut-off, U</t>
  </si>
  <si>
    <t>Copper scrap, sorted, pressed {GLO}| market for copper scrap, sorted, pressed | Cut-off, U</t>
  </si>
  <si>
    <t>Proces toegevoegd voor het omsmelten van koper zodat alle stappen na punt einde afval tot de grondstof equivalent worden beschouwd. Het koperschroot uit het omsmeltproces wordt afgetrokken omdat dit proces transport bevat wat al opgenomen moet zijn in module C2.</t>
  </si>
  <si>
    <t>0364-pro&amp;Elektriciteit uit benzine generator, 10 MW, 40% efficientie (o.b.v. Diesel, burned in diesel-electric generating set, 10MW {GLO}| diesel, burned in diesel-electric generating set, 10MW | Cut-off, U)</t>
  </si>
  <si>
    <t>Wijziging proces</t>
  </si>
  <si>
    <t>Proces omgebouwd naar levering van elektriciteit ipv gebruik benzine</t>
  </si>
  <si>
    <t>Proces omgebouwd naar levering van elektriciteit ipv gebruik diesel</t>
  </si>
  <si>
    <t>Om het proces om te bouwen van gebruik van benzine naar levering van elektriciteit met een generator, is de hoeveelheid output aangepast van 1 MJ naar 0,4 MJ om een efficientie van 40% te simuleren</t>
  </si>
  <si>
    <t>0365-pro&amp;Elektriciteit uit benzine generator, 18,5 kW, 40% efficientie (o.b.v. Diesel, burned in diesel-electric generating set, 18.5kW {GLO}| diesel, burned in diesel-electric generating set, 18.5kW | Cut-off, U)</t>
  </si>
  <si>
    <t>0366-pro&amp;Elektriciteit uit diesel generator, 10 MW, 45% efficientie (o.b.v. Diesel, burned in diesel-electric generating set, 10MW {GLO}| diesel, burned in diesel-electric generating set, 10MW | Cut-off, U)</t>
  </si>
  <si>
    <t>0367-pro&amp;Elektriciteit uit diesel generator, 18,5 kW, 45% efficientie (o.b.v. Diesel, burned in diesel-electric generating set, 18.5kW {GLO}| diesel, burned in diesel-electric generating set, 18.5kW | Cut-off, U)</t>
  </si>
  <si>
    <t>Diesel, burned in diesel-electric generating set, 10MW {GLO}| diesel, burned in diesel-electric generating set, 10MW | Cut-off, U</t>
  </si>
  <si>
    <t>Diesel {GLO}| market group for diesel | Cut-off, U</t>
  </si>
  <si>
    <t>Well-to-tank Diesel (A1-A4) (o.b.v. 0744-fab&amp;Diesel)</t>
  </si>
  <si>
    <t>Om het proces om te bouwen van gebruik van benzine naar levering van elektriciteit met een generator, is de hoeveelheid van input processen aangepast. Tevens is het ecoinvent proces voor diesel vervangen door het NMD proces (Well-to-tank) voor diesel</t>
  </si>
  <si>
    <t>Om het proces om te bouwen van gebruik van benzine naar levering van elektriciteit met een generator, is de hoeveelheid van input processen aangepast. Tevens is het ecoinvent proces voor diesel vervangen door het NMD proces (Well-to-tank) voor diesel. Tot slot is dit proces ook omgezet naar 1 kWh ipv 1 MJ</t>
  </si>
  <si>
    <t>Diesel, burned in diesel-electric generating set, 18.5kW {GLO}| market for diesel, burned in diesel-electric generating set, 18.5kW | Cut-off, U</t>
  </si>
  <si>
    <t>Lubricating oil {RER}| market for lubricating oil | Cut-off, U</t>
  </si>
  <si>
    <t>Lubricating oil {RoW}| market for lubricating oil | Cut-off, U</t>
  </si>
  <si>
    <t>Diesel-electric generating set, 18.5kW {GLO}| market for diesel-electric generating set, 18.5kW | Cut-off, U</t>
  </si>
  <si>
    <t>Emissies uit Diesel, burned in diesel-electric generating set, 18.5kW {GLO}| diesel, burned in diesel-electric generating set, 18.5kW</t>
  </si>
  <si>
    <t>Aanpassing inventarisatie en naamswijziging</t>
  </si>
  <si>
    <t>Warmwalsen toegevoegd</t>
  </si>
  <si>
    <t>Hot rolling, steel {Europe without Austria}| hot rolling, steel | Cut-off, U</t>
  </si>
  <si>
    <t>Naamswijziging: secundair gehalte toegevoegd aan naam + verduidelijking toegevoegd. Tevens warmwalsen toegevoegd aangezien de proces ontbrak terwijl het standaard voorkomt bij productie van staal</t>
  </si>
  <si>
    <t>0233-fab&amp;Staal, staalplaat, verzinkt (o.b.v. 98,6% Steel, unalloyed {GLO} + Hot rolling + Sheet rolling; 0,06 m2 Zinc coat, coils; 20,7% secundair)</t>
  </si>
  <si>
    <t>0458-fab&amp;Staal, Spoorstaven 54E1 R260Mn, met 1,7% Mn (o.b.v. Steel, low-alloyed {RER}| steel production, converter, low-alloyed | Cut-off, U)</t>
  </si>
  <si>
    <t>Toevoeging warmwalsen</t>
  </si>
  <si>
    <t>Warmwalsen toegevoegd aangezien de proces ontbrak terwijl het standaard voorkomt bij productie van staal</t>
  </si>
  <si>
    <t>0524-fab&amp;Asfalt, gietasfalt, waterbouw (module A1-A3; t.b.v. categorie 3 productkaart) [Branche referentiemengsels, 2022]</t>
  </si>
  <si>
    <t>Correctie van inventarisatie</t>
  </si>
  <si>
    <t>0103-tra&amp;Transport, vrachtschip, binnenvaart (o.b.v. Transport, freight, inland waterways, barge {GLO}| market group for transport, freight, inland waterways, barge | Cut-off, U)</t>
  </si>
  <si>
    <t>Gravel, crushed {RoW}| gravel production, crushed | Cut-off, U</t>
  </si>
  <si>
    <t>0569-pro&amp;Elektriciteit, Nederlandse mix, bij consument, per kWh (48,4% grijs, 51,6% hernieuwbaar) (o.b.v. zie toelichting in proces), (01-2031)</t>
  </si>
  <si>
    <t>Proces bevatten een paar fout overgenomen datapunten uit het rapport voor branchegemiddelde asfaltmengels. Dit is hersteld.</t>
  </si>
  <si>
    <t>0566-fab&amp;Asfalt, AC surf zonder PR (module A1-A3; t.b.v. categorie 3 productkaart) [Branche referentiemengsels, 2022]</t>
  </si>
  <si>
    <t>0046-fab&amp;Kalk, geblust, calcium(di)hydroxide, slaked lime, hydrated lime, grondstof voor metselkalk (o.b.v. Lime, hydrated, packed {RER}| market for lime, hydrated, packed | Cut-off, U)</t>
  </si>
  <si>
    <t>0215-fab&amp;Kalksteen, kalksteenmeel (o.b.v. Lime {Europe without Switzerland}| lime production, milled, loose | Cut-off, U)</t>
  </si>
  <si>
    <t>Inventarisatie voorzien van nieuw proces voor zwakke vulstof</t>
  </si>
  <si>
    <t>0567-fab&amp;Asfalt, AC bin/base 50% PR (module A1-A3; t.b.v. categorie 3 productkaart) [Branche referentiemengsels, 2022]</t>
  </si>
  <si>
    <t>Proces bevatte een paar fout overgenomen datapunten uit het rapport voor branchegemiddelde asfaltmengsels. Dit is hersteld. Tevens is de inventarisatie voorzien van nieuw proces voor zwakke vulstof</t>
  </si>
  <si>
    <t>0420-fab&amp;Asfalt, open steenasfalt, waterbouw (A1-A3) [Branche referentiemengsels, 2022]</t>
  </si>
  <si>
    <t>Statische resultaten</t>
  </si>
  <si>
    <t>Proces omgebouwd van statische resulaten naar dynamisch proces. Tevens aangepast van A1 t/m D proces naar A1 t/m A3.</t>
  </si>
  <si>
    <t>Proces omgebouwd van statische resulaten naar dynamisch proces met inventarisatie op basis van branchegemiddelde asfaltmengsels. Tevens is het proces aangepast van een module A1 t/m D proces naar A1 t/m A3.</t>
  </si>
  <si>
    <t>0422-fab&amp;Asfalt, asfaltmastiek, waterbouw (A1-A3) [Branche referentiemengsels, 2022]</t>
  </si>
  <si>
    <t>Emissie naar lucht: PAH, polycyclic aromatic hydrocarbons</t>
  </si>
  <si>
    <t>Emissie naar lucht: Napthalene</t>
  </si>
  <si>
    <t>Emissie naar lucht: Benzo(e)pyrene</t>
  </si>
  <si>
    <t>mg</t>
  </si>
  <si>
    <t>0210-fab&amp;Asfalt, SMA, steen- of splitmastiekasfalt, 8/11 (A1-A3) [Branche referentiemengsels, 2022]</t>
  </si>
  <si>
    <t>0170-fab&amp;Zand; brekerzand (uit puinbreker; = 0-waarden want 'vrij van milieulast')</t>
  </si>
  <si>
    <t>0169-fab&amp;Bitumen (o.b.v. Bitumen adhesive compound, hot {GLO}| market for | Cut-off, U)</t>
  </si>
  <si>
    <t>Heat, district or industrial, natural gas {GLO}| market group for heat, district or industrial, natural gas | Cut-off, U</t>
  </si>
  <si>
    <t>Diesel, burned in building machine {GLO}| market for diesel, burned in building machine | Cut-off, U</t>
  </si>
  <si>
    <t>Emissie naar lucht: Hydrocarbons, unspecified</t>
  </si>
  <si>
    <t>Emissie naar lucht: Carbon monoxide</t>
  </si>
  <si>
    <t>Emissie naar lucht: Particulates</t>
  </si>
  <si>
    <t xml:space="preserve">Proces voorzien van nieuwe inventarisatie op basis van branchegemiddelde asfaltmengsels. </t>
  </si>
  <si>
    <t>Proces voorzien van nieuwe data uit branchegemiddelde asfaltmengsels rapport</t>
  </si>
  <si>
    <t>0468-fab&amp;Afdruipremmer cellulosevezel; o.b.v. Cellulose fibre, inclusive blowing in {RoW}| production | Cut-off, U (zonder Borax en Boric acid)</t>
  </si>
  <si>
    <t>0230-fab&amp;Asfalt, ZOAB regulier, zeer open asfaltbeton (A1-A3) [Branche referentiemengsels, 2022]</t>
  </si>
  <si>
    <t>0290-tra&amp;Transport, vrachtschip, container, zee (o.b.v. Transport, freight, sea, container ship {GLO}| market for transport, freight, sea, container ship | Cut-off, U)</t>
  </si>
  <si>
    <t>0406-fab&amp;Vulstof middelsoort+hydroxide SVC (o.b.v. 65% Limestone, crushed, washed en 35% Lime, hydraulic {RER}| market for lime, hydraulic | Cut-off, U)</t>
  </si>
  <si>
    <t>GLO proces aangepast naar RER</t>
  </si>
  <si>
    <t>Electricity, medium voltage {RER}| market group for electricity, medium voltage | Cut-off, U</t>
  </si>
  <si>
    <t>Electricity, medium voltage {GLO}| market group for electricity, medium voltage | Cut-off, U</t>
  </si>
  <si>
    <t>0603-fab&amp;Cement, CEM III/C (o.b.v. CEM III/C 32.5 N) [NL-PCR Cement]</t>
  </si>
  <si>
    <t>0015-fab&amp;Polyamide, PA 6, PA 66 (o.b.v. Nylon 6 {RER}| market for nylon 6 | Cut-off, U)</t>
  </si>
  <si>
    <t>Nylon 6 {RER}| market for nylon 6 | Cut-off, U</t>
  </si>
  <si>
    <t>Nylon 6 {RoW}| market for nylon 6 | Cut-off, U</t>
  </si>
  <si>
    <t>Proces aangepast van GLO naar RER voor betere representativiteit</t>
  </si>
  <si>
    <t>Proces in inventarisatie aangepast van GLO naar RER voor betere representativiteit</t>
  </si>
  <si>
    <t>Flat glass, coated {RoW}| market for flat glass, coated | Cut-off, U</t>
  </si>
  <si>
    <t>0019-fab&amp;Glas, vlakglas (o.b.v. Flat glass, coated {RER}| market for flat glass, coated | Cut-off, U)</t>
  </si>
  <si>
    <t>Flat glass, coated {RER}| market for flat glass, coated | Cut-off, U</t>
  </si>
  <si>
    <t>0147-pro&amp;Draad trekken, koper (o.b.v. Wire drawing, copper {RER}| wire drawing, copper | Cut-off, U)</t>
  </si>
  <si>
    <t>RoW proces aangepast naar RER</t>
  </si>
  <si>
    <t>Proces aangepast van RoW naar RER voor betere representativiteit</t>
  </si>
  <si>
    <t>Wire drawing, copper {GLO}| market for wire drawing, copper | Cut-off, U</t>
  </si>
  <si>
    <t>Wire drawing, copper {RER}| wire drawing, copper | Cut-off, U</t>
  </si>
  <si>
    <t>0185-fab&amp;Polyetheen, HDPE, geëxtrudeerd (o.b.v. Polyethylene, high density, granulate {GLO}| market for | Cut-off, U &amp; Extrusion, plastic pipes {RER}| extrusion, plastic pipes | Cut-off, U)</t>
  </si>
  <si>
    <t>Extrusion, plastic pipes {RER}| extrusion, plastic pipes | Cut-off, U</t>
  </si>
  <si>
    <t>Extrusion, plastic pipes {GLO}| market for extrusion, plastic pipes | Cut-off, U</t>
  </si>
  <si>
    <t>0197-fab&amp;Polyester, folie, weefsel (o.b.v. Polyester resin, unsaturated {RER}| market for polyester resin, unsaturated | Cut-off, U + Extrusion, plastic film {RER}| extrusion, plastic film | Cut-off, U)</t>
  </si>
  <si>
    <t>Extrusion, plastic film {RER}| extrusion, plastic film | Cut-off, U</t>
  </si>
  <si>
    <t>Injection moulding {RER}| injection moulding | Cut-off, U</t>
  </si>
  <si>
    <t>0198-fab&amp;Polypropeen, PP, spuitgegoten (o.b.v. Polypropylene, granulate {GLO}| market for | Cut-off, U + Injection moulding {RER}| injection moulding | Cut-off, U)</t>
  </si>
  <si>
    <t>0199-fab&amp;PVC, geëxtrudeerd (o.b.v. Polyvinylchloride, suspension polymerised {GLO}| market for | Cut-off, U + Extrusion, plastic pipes {RER}| extrusion, plastic pipes | Cut-off, U)</t>
  </si>
  <si>
    <t>0200-fab&amp;PVC, folie (o.b.v. Polyvinylchloride, suspension polymerised {GLO}| market for | Cut-off, U + Extrusion, plastic film {RER}| extrusion, plastic film | Cut-off, U)</t>
  </si>
  <si>
    <t>Extrusion, plastic film {GLO}| market for extrusion, plastic film | Cut-off, U</t>
  </si>
  <si>
    <t>Injection moulding {GLO}| market for injection moulding | Cut-off, U</t>
  </si>
  <si>
    <t>0216-fab&amp;Polypropeen, PP, folie, weefsel (o.b.v. Polypropylene, granulate {GLO}| market for | Cut-off, U + Extrusion, plastic film {RER}| extrusion, plastic film | Cut-off, U)</t>
  </si>
  <si>
    <t>0217-fab&amp;Polyetheen, HDPE, folie, weefsel (o.b.v. Polyethylene, high density, granulate {GLO}| market for | Cut-off, U + Extrusion, plastic film {RER}| extrusion, plastic film | Cut-off, U)</t>
  </si>
  <si>
    <t>0234-fab&amp;Polypropeen, PP, geëxtrudeerd (o.b.v. Polypropylene, granulate {GLO}| market for | Cut-off, U + Extrusion, plastic pipes {RER}| extrusion, plastic pipes | Cut-off, U)</t>
  </si>
  <si>
    <t>0357-pro&amp;Extruderen, kunststof, buizen (exclusief kunststof) (o.b.v. Extrusion, plastic pipes {RER}| extrusion, plastic pipes | Cut-off, U; "1 kg of this process equals 0.996 kg of extruded plastic pipes.")</t>
  </si>
  <si>
    <t>0358-pro&amp;Extruderen, kunststof, folie (exclusief kunststof) (o.b.v. Extrusion, plastic film {RER}| extrusion, plastic film | Cut-off, U; "1 kg of this process equals 0.976 kg of extruded plastic film.")</t>
  </si>
  <si>
    <t>0359-pro&amp;Spuitgieten, kunststof (exclusief kunststof) (o.b.v. Injection moulding {RER}| injection moulding | Cut-off, U; "1 kg of this process equals 0.994 kg of injection moulded plastics")</t>
  </si>
  <si>
    <t>0608-fab&amp;Polyetheentereftalaat, PET, folie (o.b.v. Polyethylene terephthalate, granulate, amorphous {GLO}| market for | Cut-off, U + Extrusion, plastic film {RER}| extrusion, plastic film | Cut-off, U)</t>
  </si>
  <si>
    <t>0637-fab&amp;Polylactide, PLA, spuitgegoten (o.b.v. Polylactide, granulate {GLO}| market for | Cut-off, U + Injection moulding {RER}| injection moulding | Cut-off, U)</t>
  </si>
  <si>
    <t>Update</t>
  </si>
  <si>
    <t>Nieuwe opbouw (zie processendatabase)</t>
  </si>
  <si>
    <t>Voorzien van nieuwe data, opgebouwd uit achtergrondprocessen. Voor volledige opbouw zie de processendatabase.</t>
  </si>
  <si>
    <t>0081-fab&amp;Elektriciteit, bij consument, materialisatie infrastructuur, gemiddelde netmix NL (48,4% grijs, 51,6% hernieuwbaar), per kWh (o.b.v. zie toelichting in proces), (01-2031)</t>
  </si>
  <si>
    <t>0090-fab&amp;Aardgas, verbrand, bij consument, materialisatie infrastructuur, per m³ (o.b.v. zie toelichting in proces), (01-2031)</t>
  </si>
  <si>
    <t>0496-pro&amp;Elektriciteit, hernieuwbaar, bij consument, per kWh (50,7% wind, 33,75% PV, 0,15% waterkracht, 15,4% biomassa) (o.b.v. zie toelichting in proces), (01-2031)</t>
  </si>
  <si>
    <t>0570-pro&amp;Elektriciteit, hernieuwbaar, uit biomassa, bij consument, per kWh (o.b.v. zie toelichting in proces), (01-2031)</t>
  </si>
  <si>
    <t>0571-pro&amp;Elektriciteit, hernieuwbaar, van windturbines op zee, bij consument, per kWh (o.b.v. zie toelichting in proces), (01-2031)</t>
  </si>
  <si>
    <t>0572-pro&amp;Elektriciteit, hernieuwbaar, van windturbines op land, bij consument, per kWh (o.b.v. zie toelichting in proces), (01-2031)</t>
  </si>
  <si>
    <t>0573-pro&amp;Elektriciteit, hernieuwbaar, uit PV, bij consument, per kWh (o.b.v. zie toelichting in proces), (01-2031)</t>
  </si>
  <si>
    <t>0574-fab&amp;Elektriciteit, materialisatie elektriciteitsnet zonder omzettingsmiddelen, bij consument, per kWh (o.b.v. zie toelichting in proces), (01-2031)</t>
  </si>
  <si>
    <t>Update van alle energieprocessen obv recente data</t>
  </si>
  <si>
    <t>Diesel, low-sulfur {Europe without Switzerland}| diesel production, low-sulfur, petroleum refinery operation | Cut-off, U</t>
  </si>
  <si>
    <t>Transport, freight, lorry &gt;32 metric ton, EURO6 {RER}| market for transport, freight, lorry &gt;32 metric ton, EURO6 | Cut-off, U</t>
  </si>
  <si>
    <t>Transport, freight, lorry &gt;32 metric ton, EURO5 {RER}| market for transport, freight, lorry &gt;32 metric ton, EURO5 | Cut-off, U</t>
  </si>
  <si>
    <t>Diesel, low-sulfur {Europe without Switzerland}| market for | Cut-off, U (aangepast naar opslag brandstoffen tbv. categorie 3 brandstofprocessen)</t>
  </si>
  <si>
    <t>0320-tra&amp;Transport, vrachtwagen (&gt;32 ton), euro 5, diesel, per tkm</t>
  </si>
  <si>
    <t>Update van brandstof achtergronddata</t>
  </si>
  <si>
    <t>Brandstof-machine combinatieprocessen zijn geupdatet met recentere data voor de brandstofproductie, transport en opslag. Tevens zijn in ecoinvent 3.9.1 inconsistenties uit emissie-data rechtgezet</t>
  </si>
  <si>
    <t>Well-to-tank FAME (A1-A4) (o.b.v. 0749-fab&amp;FAME)</t>
  </si>
  <si>
    <t>Well-to-tank FAME (A1-A4)</t>
  </si>
  <si>
    <t>Brandstof-machine combinatieprocessen zijn geupdatet met recentere data voor de brandstofproductie, transport en opslag. Tevens zijn in ecoinvent 3.9.1 inconsistenties uit emissie-data rechtgezet.</t>
  </si>
  <si>
    <t>Emissie naar lucht: Emission, unspecified</t>
  </si>
  <si>
    <t>Emissie naar lucht: Bismuth</t>
  </si>
  <si>
    <t>Emissie naar water: Emission, unspecified</t>
  </si>
  <si>
    <t>Emissie naar water: Bismuth</t>
  </si>
  <si>
    <t>Emissie naar grond: Emission, unspecified</t>
  </si>
  <si>
    <t>Emissie naar grond: Bismuth</t>
  </si>
  <si>
    <t>Emissie naar grond: Tungsten</t>
  </si>
  <si>
    <t>Emissie naar lucht: Antimony, ion</t>
  </si>
  <si>
    <t>Emissie naar lucht: Chromium, ion</t>
  </si>
  <si>
    <t>Emissie naar lucht: Chromium (III)</t>
  </si>
  <si>
    <t>Emissie naar lucht: Antimony (III)</t>
  </si>
  <si>
    <t>Emissie naar lucht: Iron (II)</t>
  </si>
  <si>
    <t>Emissie naar lucht: Iron, ion</t>
  </si>
  <si>
    <t>Emissie naar water: Antimony, ion</t>
  </si>
  <si>
    <t>Emissie naar water: Chromium, ion</t>
  </si>
  <si>
    <t>Emissie naar water: Iron, ion</t>
  </si>
  <si>
    <t>Emissie naar water: Antimony (III)</t>
  </si>
  <si>
    <t>Emissie naar water: Chromium (III)</t>
  </si>
  <si>
    <t>Emissie naar water: Iron (II)</t>
  </si>
  <si>
    <t>Emissie naar grond: Antimony (III)</t>
  </si>
  <si>
    <t>Emissie naar grond: Antimony, ion</t>
  </si>
  <si>
    <t>Emissie naar grond: Chromium (III)</t>
  </si>
  <si>
    <t>Emissie naar grond: Chromium, ion</t>
  </si>
  <si>
    <t>Emissie naar grond: Iron (II)</t>
  </si>
  <si>
    <t>Emissie naar grond: Iron, ion</t>
  </si>
  <si>
    <t>0322-tra&amp;Transport, vrachtwagen (&gt;32 ton), euro 5, GTL, per tkm</t>
  </si>
  <si>
    <t>Well-to-tank GTL (A1-A4) (o.b.v. 0889-fab&amp;GTL)</t>
  </si>
  <si>
    <t>Natural gas, high pressure {QA}| petroleum and gas production, offshore | Cut-off, U</t>
  </si>
  <si>
    <t>Transport, pipeline, long distance, natural gas {DE}| transport, pipeline, long distance, natural gas | Cut-off, U</t>
  </si>
  <si>
    <t>Electricity, high voltage {DE}| electricity production, natural gas, 10MW | Cut-off, U</t>
  </si>
  <si>
    <t>Heat, district or industrial, natural gas {Europe without Switzerland}| heat production, natural gas, at industrial furnace &gt;100kW | Cut-off, U (aangepast voor GTL tbv. categorie 3 data brandstofprocessen)</t>
  </si>
  <si>
    <t>Chemical factory, organics {RER}| chemical factory construction, organics | Cut-off, U</t>
  </si>
  <si>
    <t>Transport, freight, sea, tanker for liquefied natural gas {GLO}| market for transport, freight, sea, tanker for liquefied natural gas | Cut-off, U</t>
  </si>
  <si>
    <t>Well-to-tank HVO (A1-A4) (o.b.v. 0750-fab&amp;HVO)</t>
  </si>
  <si>
    <t>Well-to-tank HVO (A1-A4)</t>
  </si>
  <si>
    <t>0324-tra&amp;Transport, vrachtwagen (&gt;32 ton), euro 6, diesel, per tkm</t>
  </si>
  <si>
    <t>0325-tra&amp;Transport, vrachtwagen (&gt;32 ton), Euro 6, FAME, per tkm</t>
  </si>
  <si>
    <t>0326-tra&amp;Transport, vrachtwagen (&gt;32 ton), euro 6, GTL, per tkm</t>
  </si>
  <si>
    <t>0327-tra&amp;Transport, vrachtwagen (&gt;32 ton), Euro 6, HVO, per tkm</t>
  </si>
  <si>
    <t>Well-to-tank Diesel (A1-A4)</t>
  </si>
  <si>
    <t>0336-pro&amp;FAME-verbruik, bouwmachine cat. IIIB, 75 tot 130 kW, per l (FAME: 33,1 MJ/liter en 0,89 kg/liter)</t>
  </si>
  <si>
    <t>0337-pro&amp;GTL-verbruik, bouwmachine cat. IIIB, 75-130kW, per l (GTL: 34,3 MJ/liter en 0,780 kg/liter)</t>
  </si>
  <si>
    <t>Well-to-tank GTL (A1-A4)</t>
  </si>
  <si>
    <t>0338-pro&amp;HVO-verbruik, bouwmachine cat. IIIB, 75 tot 130 kW, per l (HVO: 34,5 MJ/liter en 0,78 kg/liter)</t>
  </si>
  <si>
    <t>0339-pro&amp;FAME-verbruik, bouwmachine cat. IV, 75 tot 130 kW, per l (FAME: 33,1 MJ/liter en 0,89 kg/liter)</t>
  </si>
  <si>
    <t>0340-pro&amp;Dieselverbruik, bouwmachine cat. IV, alle vermogens, per l (diesel: 35,9 MJ/liter en 0,832 kg/liter)</t>
  </si>
  <si>
    <t>0341-pro&amp;GTL-verbruik, bouwmachine cat. IV, alle vermogens, per l (GTL: 34,3 MJ/liter en 0,780 kg/liter)</t>
  </si>
  <si>
    <t>0342-pro&amp;HVO-verbruik, bouwmachine cat. IV, 75 tot 130 kW, per l (HVO: 34,5 MJ/liter en 0,78 kg/liter)</t>
  </si>
  <si>
    <t>0343-pro&amp;FAME-verbruik, bouwmachine cat. V, 75 tot 130 kW, per l (FAME: 33,1 MJ/liter en 0,89 kg/liter)</t>
  </si>
  <si>
    <t>0344-pro&amp;Dieselverbruik, bouwmachine cat. V, &gt;56 kW, per l (diesel: 35,9 MJ/liter en 0,832 kg/liter)</t>
  </si>
  <si>
    <t>0345-pro&amp;GTL-verbruik, bouwmachine cat. V, &gt;56 kW, per l (GTL: 34,3 MJ/liter en 0,780 kg/liter)</t>
  </si>
  <si>
    <t>0346-pro&amp;HVO-verbruik, bouwmachine cat. V, 75 tot 130 kW, per l (HVO: 34,5 MJ/liter en 0,78 kg/liter)</t>
  </si>
  <si>
    <t>0510-pro&amp;Elektriciteitsverbruik, bouwmachine elektrisch, Grijze mix, per kWh input (elektriciteit: 3,6 MJ/kWh; 3,6 MJ input is 2,75 MJ arbeid)</t>
  </si>
  <si>
    <t>Update van kapitaalgoederen elektrische machine</t>
  </si>
  <si>
    <t>Kapitaalgoederen Bouwmachine Elektrisch Li-ion ex bekabeling</t>
  </si>
  <si>
    <t>Kapitaalgoederen Bouwmachine Elektrisch</t>
  </si>
  <si>
    <t>Elektrische machines zijn geupdatet met nieuwe data voor de kapitaalgoederen</t>
  </si>
  <si>
    <t>0511-pro&amp;Elektriciteitsverbruik, bouwmachine elektrisch, Groene mix, per kWh input (elektriciteit 3,6 MJ/kWh; 3,6 MJ input is 2,75 MJ arbeid)</t>
  </si>
  <si>
    <t>0513-tra&amp;Transport, vrachtwagen (&gt;32 ton), elektrisch, Grijze mix, per tkm</t>
  </si>
  <si>
    <t>Kapitaalgoederen Vrachtwagen Elektrisch</t>
  </si>
  <si>
    <t>Elektrische machines zijn geupdatet met nieuwe data voor de kapitaalgoederen. Tevens zijn in ecoinvent 3.9.1 inconsistenties uit emissie-data rechtgezet</t>
  </si>
  <si>
    <t>0514-tra&amp;Transport, vrachtwagen (&gt;32 ton), elektrisch, Groene mix, per tkm</t>
  </si>
  <si>
    <t>0515-tra&amp;Transport, vrachtwagen (&gt;32 ton), waterstof, Elektrolyse, grijze mix, per tkm</t>
  </si>
  <si>
    <t>Kapitaalgoederen Vrachtwagen Waterstof</t>
  </si>
  <si>
    <t>0754-fab&amp;Waterstof, Vloeibaar, Energiedrager, Elektrolyse, grijze mix, A1-A3</t>
  </si>
  <si>
    <t>0762-tra&amp;Transport Waterstof, Vloeibaar, Energiedrager, grijze mix, A4</t>
  </si>
  <si>
    <t>0751-fab&amp;Waterstof, Gas, Energiedrager, Elektrolyse, grijze mix, A1-A3</t>
  </si>
  <si>
    <t>Waterstof machines zijn geupdatet met nieuwe data voor de brandstof. Tevens zijn in ecoinvent 3.9.1 inconsistenties uit emissie-data rechtgezet</t>
  </si>
  <si>
    <t>0516-tra&amp;Transport, vrachtwagen (&gt;32 ton), waterstof, Elektrolyse, groene mix, per tkm</t>
  </si>
  <si>
    <t>0752-fab&amp;Waterstof, Gas, Energiedrager, Elektrolyse, wind energie, A1-A3</t>
  </si>
  <si>
    <t>Emissie naar lucht: Water/m3</t>
  </si>
  <si>
    <t>0517-tra&amp;Transport, vrachtwagen (&gt;32 ton), waterstof, SMR, grijze mix, per tkm</t>
  </si>
  <si>
    <t>0753-fab&amp;Waterstof, Gas, Energiedrager, SMR, grijze mix, A1-A3</t>
  </si>
  <si>
    <t>0756-fab&amp;Waterstof, Vloeibaar, Energiedrager, SMR, grijze mix, A1-A3</t>
  </si>
  <si>
    <t>0518-tra&amp;Transport, vrachtwagen (&gt;32 ton), waterstof, SMR, groene mix, per tkm</t>
  </si>
  <si>
    <t>Waterstof, Steam methane reforming (SMR), groene mix</t>
  </si>
  <si>
    <t>0529-pro&amp;Dieselverbruik, bouwmachine cat. IIIB, &lt;56 kW, per l (diesel: 35,9 MJ/liter en 0,832 kg/liter)</t>
  </si>
  <si>
    <t>0530-pro&amp;Dieselverbruik, bouwmachine cat. IIIB, 56-75kW, per l (diesel: 35,9 MJ/liter en 0,832 kg/liter)</t>
  </si>
  <si>
    <t>0531-pro&amp;Dieselverbruik, bouwmachine cat. IIIB, 130kW+, per l (diesel: 35,9 MJ/liter en 0,832 kg/liter)</t>
  </si>
  <si>
    <t>0532-pro&amp;Dieselverbruik, bouwmachine cat. V, &lt;37 kW, per l (diesel: 35,9 MJ/liter en 0,832 kg/liter)</t>
  </si>
  <si>
    <t>0533-pro&amp;Dieselverbruik, bouwmachine cat. V, 37-56 kW, per l (diesel: 35,9 MJ/liter en 0,832 kg/liter)</t>
  </si>
  <si>
    <t>0534-pro&amp;GTL-verbruik, bouwmachine cat. IIIB, &lt;56 kW, per l (GTL: 34,3 MJ/liter en 0,780 kg/liter)</t>
  </si>
  <si>
    <t>0535-pro&amp;GTL-verbruik, bouwmachine cat. IIIB, 56-75 kW, per l (GTL: 34,3 MJ/liter en 0,780 kg/liter)</t>
  </si>
  <si>
    <t>0536-pro&amp;GTL-verbruik, bouwmachine cat. IIIB, 130kW+, per l (GTL: 34,3 MJ/liter en 0,780 kg/liter)</t>
  </si>
  <si>
    <t>0537-pro&amp;GTL-verbruik, bouwmachine cat. V, &lt;37 kW, per l (GTL: 34,3 MJ/liter en 0,780 kg/liter)</t>
  </si>
  <si>
    <t>0538-pro&amp;GTL-verbruik, bouwmachine cat. V, 37-56 kW, per l (GTL: 34,3 MJ/liter en 0,780 kg/liter)</t>
  </si>
  <si>
    <t>0539-pro&amp;Waterstofverbruik, bouwmachine, Elektrolyse, grijze mix, per kg (waterstof: 120 MJ/kg)</t>
  </si>
  <si>
    <t>Waterstof machines zijn geupdatet met nieuwe data voor de brandstof.</t>
  </si>
  <si>
    <t>0540-pro&amp;Waterstofverbruik, bouwmachine, Elektrolyse, groene mix, per kg (waterstof: 120 MJ/kg)</t>
  </si>
  <si>
    <t>Kapitaalgoederen Bouwmachine Waterstof</t>
  </si>
  <si>
    <t>0541-pro&amp;Waterstofverbruik, bouwmachine, SMR, grijze mix, per kg (waterstof: 120 MJ/kg)</t>
  </si>
  <si>
    <t>0542-pro&amp;Waterstofverbruik, bouwmachine, SMR, groene mix, per kg (waterstof: 120 MJ/kg)</t>
  </si>
  <si>
    <t>0005-fab&amp;Betonmortel C30/37 (o.b.v. 75% CEM III en 25% CEM I), 2373,03 kg/m3</t>
  </si>
  <si>
    <t>0158-fab&amp;Betonmortel C30/37 (o.b.v. CEM I), 2365,53 kg/m3</t>
  </si>
  <si>
    <t>0159-fab&amp;Betonmortel C12/15 (o.b.v. CEM I), 2384,5 kg/m3</t>
  </si>
  <si>
    <t>0160-fab&amp;Betonmortel C12/15 (o.b.v. CEM III/B), 2351,5 kg/m3</t>
  </si>
  <si>
    <t>0161-fab&amp;Betonmortel C20/25 (o.b.v. CEM III/B), 2397,5 kg/m3</t>
  </si>
  <si>
    <t>0162-fab&amp;Betonmortel C20/25 (o.b.v. CEM I), 2387,5 kg/m3</t>
  </si>
  <si>
    <t>0163-fab&amp;Betonmortel C30/37 (o.b.v. CEM III/B), 2375,53 kg/m3</t>
  </si>
  <si>
    <t>0164-fab&amp;Betonmortel C35/45 (o.b.v. CEM III/B), 2438,7 kg/m3</t>
  </si>
  <si>
    <t>0165-fab&amp;Betonmortel C55/67 (o.b.v. 75% CEM III en 25% CEM I), 2335,6 kg/m3</t>
  </si>
  <si>
    <t>0166-fab&amp;Betonmortel C70/85 (o.b.v. 50% CEM I en 50% CEM III), 2455 kg/m3</t>
  </si>
  <si>
    <t>0194-fab&amp;Betonmortel, onderwaterbeton C20/25 (o.b.v. CEM III/B), 2399 kg/m3</t>
  </si>
  <si>
    <t>0195-fab&amp;Betonmortel, onderwaterbeton C30/37 (o.b.v. CEM III/B), 2343 kg/m3</t>
  </si>
  <si>
    <t>0483-fab&amp;Betonmortel C60/75 (o.b.v. 50% CEM III/A en 50% CEM I), 2363 kg/m3</t>
  </si>
  <si>
    <t>0484-fab&amp;Betonmortel, onderwaterbeton C20/25 (o.b.v. CEM III/B 42.5 N), 2321 kg/m3, 0% recyclaat</t>
  </si>
  <si>
    <t>0485-fab&amp;Betonmortel, onderwaterbeton C20/25 (o.b.v. CEM III/B 42.5 N), 2304 kg/m3, 30% recyclaat</t>
  </si>
  <si>
    <t>0486-fab&amp;Betonmortel, onderwaterbeton C30/37 (o.b.v. CEM III/B 42.5 N), 2332 kg/m3, 0% recyclaat</t>
  </si>
  <si>
    <t>0487-fab&amp;Betonmortel, onderwaterbeton C30/37 (o.b.v. CEM III/B 42.5 N), 2315 kg/m3, 30% recyclaat</t>
  </si>
  <si>
    <t>0575-fab&amp;Betonmortel C12/15 (o.b.v. CEM III/A), 2351,5 kg/m3</t>
  </si>
  <si>
    <t>0576-fab&amp;Betonmortel C12/15 (o.b.v. CEM III/C), 2351,5 kg/m3</t>
  </si>
  <si>
    <t>0577-fab&amp;Betonmortel C20/25 (o.b.v. CEM III/A), 2397,5 kg/m3</t>
  </si>
  <si>
    <t>0578-fab&amp;Betonmortel C20/25 (o.b.v. CEM III/C), 2397,5 kg/m3</t>
  </si>
  <si>
    <t>0579-fab&amp;Betonmortel C25/30 (o.b.v. CEM I), 2399,52 kg/m3</t>
  </si>
  <si>
    <t>0580-fab&amp;Betonmortel C25/30 (o.b.v. CEM III/A), 2409,52 kg/m3</t>
  </si>
  <si>
    <t>0581-fab&amp;Betonmortel C25/30 (o.b.v. CEM III/B), 2409,52 kg/m3</t>
  </si>
  <si>
    <t>0582-fab&amp;Betonmortel C30/37 (o.b.v. CEM III/A), 2375,53 kg/m3</t>
  </si>
  <si>
    <t>0583-fab&amp;Betonmortel C30/37 (o.b.v. CEM III/C), 2375,53 kg/m3</t>
  </si>
  <si>
    <t>0584-fab&amp;Betonmortel C35/45 (o.b.v. CEM I), 2335,6 kg/m3</t>
  </si>
  <si>
    <t>0585-fab&amp;Betonmortel C35/45 (o.b.v. CEM III/A), 2438,7 kg/m3</t>
  </si>
  <si>
    <t>0586-fab&amp;Betonmortel C40/50 (o.b.v. CEM I), 2351,2 kg/m3</t>
  </si>
  <si>
    <t>0587-fab&amp;Betonmortel C40/50 (o.b.v. CEM III/A), 2400 kg/m3</t>
  </si>
  <si>
    <t>0588-fab&amp;Betonmortel C40/50 (o.b.v. CEM III/B), 2375 kg/m3</t>
  </si>
  <si>
    <t>0589-fab&amp;Betonmortel C45/55 (o.b.v. CEM I), 2366,8 kg/m3</t>
  </si>
  <si>
    <t>0590-fab&amp;Betonmortel C45/55 (o.b.v. CEM III/A), 2361,3 kg/m3</t>
  </si>
  <si>
    <t>0591-fab&amp;Betonmortel C45/55 (o.b.v. CEM III/B), 2311,3 kg/m3</t>
  </si>
  <si>
    <t>0592-fab&amp;Betonmortel C45/55 (o.b.v. CEM III/C), 2311,3 kg/m3</t>
  </si>
  <si>
    <t>0593-fab&amp;Betonmortel C50/60 (o.b.v. CEM I), 2312 kg/m3</t>
  </si>
  <si>
    <t>0594-fab&amp;Betonmortel C50/60 (o.b.v. CEM III/A), 2322 kg/m3</t>
  </si>
  <si>
    <t>0595-fab&amp;Betonmortel C50/60 (o.b.v. CEM III/B), 2322 kg/m3</t>
  </si>
  <si>
    <t>0596-fab&amp;Betonmortel C60/76 (o.b.v. CEM I), 2287 kg/m3</t>
  </si>
  <si>
    <t>0597-fab&amp;Betonmortel C60/76 (o.b.v. CEM III/A), 2307 kg/m3</t>
  </si>
  <si>
    <t>0598-fab&amp;Betonmortel C60/76 (o.b.v. CEM III/B), 2373,25 kg/m3</t>
  </si>
  <si>
    <t>0599-fab&amp;Betonmortel C80/95 (o.b.v. CEM I), 2374,0 kg/m3</t>
  </si>
  <si>
    <t>0600-fab&amp;Betonmortel C80/95 (o.b.v. CEM III/A), 2374,0 kg/m3</t>
  </si>
  <si>
    <t>0601-fab&amp;Betonmortel C80/95 (o.b.v. CEM III/B), 2374,0 kg/m3</t>
  </si>
  <si>
    <t>0727-fab&amp;Betonmortel C20/25 (o.b.v. CEM I), 30% betongranulaat, 2332,5 kg/m3</t>
  </si>
  <si>
    <t>0728-fab&amp;Betonmortel C20/25 (o.b.v. CEM III/B), 30% betongranulaat, 2327,5 kg/m3</t>
  </si>
  <si>
    <t>0729-fab&amp;Betonmortel C30/37 (o.b.v. CEM I), 30% betongranulaat, 2310,5 kg/m3</t>
  </si>
  <si>
    <t>0730-fab&amp;Betonmortel C30/37 (o.b.v. CEM III/B), 30% betongranulaat, 2390,5 kg/m3</t>
  </si>
  <si>
    <t>0731-fab&amp;Betonmortel C35/45 (o.b.v. CEM I), 30% betongranulaat, 2340,6 kg/m3</t>
  </si>
  <si>
    <t>0733-fab&amp;Betonmortel C35/45 (o.b.v. CEM III/B), 30% betongranulaat, 2385,7 kg/m3</t>
  </si>
  <si>
    <t>0732-fab&amp;Betonmortel C35/45 (o.b.v. CEM I) + PP-vezels 2 kg/m3,  2353,2 kg/m3</t>
  </si>
  <si>
    <t>0734-fab&amp;Betonmortel C55/67 (o.b.v. CEM I), 2362 kg/m3</t>
  </si>
  <si>
    <t>0735-fab&amp;Betonmortel C55/67 (o.b.v. CEM III/A), 2372,2 kg/m3</t>
  </si>
  <si>
    <t>0736-fab&amp;Betonmortel C55/67 (o.b.v. CEM III/B), 2382,2 kg/m3</t>
  </si>
  <si>
    <t>0737-fab&amp;Betonmortel C70/85 (o.b.v. CEM I), 2353,0 kg/m3</t>
  </si>
  <si>
    <t>0738-fab&amp;Betonmortel C70/85 (o.b.v. CEM III/A), 2353,0 kg/m3</t>
  </si>
  <si>
    <t>0739-fab&amp;Betonmortel C70/85 (o.b.v. CEM III/B), 2353,0 kg/m3</t>
  </si>
  <si>
    <t>0740-fab&amp;Betonmortel C90/105 (o.b.v. CEM I), 2383,0 kg/m3</t>
  </si>
  <si>
    <t>0741-fab&amp;Betonmortel C90/105 (o.b.v. CEM III/A), 2388,0 kg/m3</t>
  </si>
  <si>
    <t>0742-fab&amp;Betonmortel C90/105 (o.b.v. CEM III/B), 2403,0 kg/m3</t>
  </si>
  <si>
    <t>Kapitaalgoederen toegevoegd</t>
  </si>
  <si>
    <t>2373,03</t>
  </si>
  <si>
    <t>2365,53</t>
  </si>
  <si>
    <t>2375,53</t>
  </si>
  <si>
    <t>2455</t>
  </si>
  <si>
    <t>2399</t>
  </si>
  <si>
    <t>2343</t>
  </si>
  <si>
    <t>2363</t>
  </si>
  <si>
    <t>2399,52</t>
  </si>
  <si>
    <t>2409,52</t>
  </si>
  <si>
    <t>2400</t>
  </si>
  <si>
    <t>2375</t>
  </si>
  <si>
    <t>2312</t>
  </si>
  <si>
    <t>2322</t>
  </si>
  <si>
    <t>2287</t>
  </si>
  <si>
    <t>2307</t>
  </si>
  <si>
    <t>2373,25</t>
  </si>
  <si>
    <t>2340,50</t>
  </si>
  <si>
    <t>2362</t>
  </si>
  <si>
    <t>2384,5</t>
  </si>
  <si>
    <t>2351,5</t>
  </si>
  <si>
    <t>2397,5</t>
  </si>
  <si>
    <t>2387,5</t>
  </si>
  <si>
    <t>2438,7</t>
  </si>
  <si>
    <t>2335,6</t>
  </si>
  <si>
    <t>2351,2</t>
  </si>
  <si>
    <t>2366,8</t>
  </si>
  <si>
    <t>2361,3</t>
  </si>
  <si>
    <t>2311,3</t>
  </si>
  <si>
    <t>2374,0</t>
  </si>
  <si>
    <t>2332,5</t>
  </si>
  <si>
    <t>2327,5</t>
  </si>
  <si>
    <t>2310,5</t>
  </si>
  <si>
    <t>2390,5</t>
  </si>
  <si>
    <t>2340,6</t>
  </si>
  <si>
    <t>2385,7</t>
  </si>
  <si>
    <t>2353,2</t>
  </si>
  <si>
    <t>2372,2</t>
  </si>
  <si>
    <t>2382,2</t>
  </si>
  <si>
    <t>2353,0</t>
  </si>
  <si>
    <t>2383,0</t>
  </si>
  <si>
    <t>2388,0</t>
  </si>
  <si>
    <t>2403,0</t>
  </si>
  <si>
    <t>Aangezien kapitaalgoederen ontbraken in betonmortels zijn deze toegevoegd obv ecoinvent data</t>
  </si>
  <si>
    <t>0066-fab&amp;Lijm, tegellijm cement [VLK]</t>
  </si>
  <si>
    <t>Chemical factory, organics {GLO}| market for chemical factory, organics | Cut-off, U</t>
  </si>
  <si>
    <t>0150-fab&amp;Asfalt, AGRAC, asfaltgranulaatcement (o.b.v. Standaard RAW Bepaling en energieverbruik data uit 2000)</t>
  </si>
  <si>
    <t>Conveyor belt {GLO}| market for conveyor belt | Cut-off, U</t>
  </si>
  <si>
    <t>Industrial machine, heavy, unspecified {RER}| market for industrial machine, heavy, unspecified | Cut-off, U</t>
  </si>
  <si>
    <t>0207-fab&amp;Thermoplastische wegmarkering, preformed, plakstroken (o.b.v. 15% Dicyclopentadiene based unsaturated polyester resin, 10% Titanium dioxide, 20% Lime, milled, loose, 25% Lime, hydraulic, 30% Glass fibre)</t>
  </si>
  <si>
    <t>0213-fab&amp;Metaalconserveringssysteem, 'menie', vlgns ISO 12944 - onderhoud 1 maal per 15 jaar [VVVF]</t>
  </si>
  <si>
    <t>0383-fab&amp;Polyurethaan coating, natlak conserveringssysteem (verbruik 0,51 kg/m2, uitgaande van 25% overspray en laagdikte 320 µm; Incl. emissie na aanbrengen)</t>
  </si>
  <si>
    <t>0411-fab&amp;Impregneermiddel, voor onbehandeld hard- en zachthout</t>
  </si>
  <si>
    <t>Electric arc furnace converter {GLO}| market for electric arc furnace converter | Cut-off, U</t>
  </si>
  <si>
    <t>Naamswijziging: secundair gehalte toegevoegd aan naam. Tevens warmwalsen en kapitaalgoederen toegevoegd aangezien de proces ontbrak terwijl het standaard voorkomt bij productie van staal</t>
  </si>
  <si>
    <t>0443-fab&amp;Calciumsilicaatplaat (35% zand, 35% kalksteen, 25% CEM I, 5% papiervezels, productie o.b.v. Gypsumfibreboard {RoW} production)</t>
  </si>
  <si>
    <t>Wooden board factory, cement bonded boards {GLO}| market for wooden board factory, cement bonded boards | Cut-off, U</t>
  </si>
  <si>
    <t>0470-fab&amp;Gel Coat (o.b.v. EUCIA LCI data)</t>
  </si>
  <si>
    <t>0520-fab&amp;Rijstvliescomposiet (o.b.v. Gerecycled PVC, rijstvlies en calciet)</t>
  </si>
  <si>
    <t>Wooden board factory, organic bonded boards {GLO}| market for wooden board factory, organic bonded boards | Cut-off, U</t>
  </si>
  <si>
    <t>0528-fab&amp;Bermgrascomposiet (o.b.v. Gerecycled PVC, bermgras en calciet)</t>
  </si>
  <si>
    <t>0644-fab&amp;Vacuüm-siliciumpaneel, VIP, zonder meerlaagse folie (o.b.v. Silicon tetrachloride {RoW} en Hydrogen, gaseous {GLO})</t>
  </si>
  <si>
    <t>Diverse processen die specifiek zijn opgesteld voor de processendatabase, bevatte nog geen kapitaalgoederen terwijl dit voor processen die direct naar ecoinvent linken wel het geval is. Om dit verschil recht te trekken zijn aan een verscheidenheid aan processen kapitaalgoederen toegevoegd. Hierbij is de inventarisatie overgenomen van vergelijkbare materialen in ecoinvent.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</si>
</sst>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2" x14ac:knownFonts="1">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3">
    <xf numFmtId="0" fontId="0" fillId="0" borderId="0" xfId="0"/>
    <xf numFmtId="0" fontId="0" fillId="0" borderId="0" xfId="0" applyAlignment="1">
      <alignment vertical="top"/>
    </xf>
    <xf numFmtId="164" fontId="0" fillId="0" borderId="0" xfId="0" applyNumberFormat="1"/>
    <xf numFmtId="0" fontId="0" fillId="0" borderId="2" xfId="0" applyBorder="1"/>
    <xf numFmtId="0" fontId="0" fillId="0" borderId="3" xfId="0" applyBorder="1"/>
    <xf numFmtId="0" fontId="0" fillId="0" borderId="3" xfId="0" applyBorder="1" applyAlignment="1">
      <alignment vertical="top"/>
    </xf>
    <xf numFmtId="0" fontId="0" fillId="0" borderId="3" xfId="0" applyBorder="1" applyAlignment="1">
      <alignment vertical="top" wrapText="1"/>
    </xf>
    <xf numFmtId="0" fontId="0" fillId="0" borderId="3" xfId="0" applyBorder="1" applyAlignment="1">
      <alignment horizontal="left"/>
    </xf>
    <xf numFmtId="0" fontId="1" fillId="0" borderId="5" xfId="0" applyFont="1" applyBorder="1"/>
    <xf numFmtId="0" fontId="1" fillId="0" borderId="2" xfId="0" applyFont="1" applyBorder="1"/>
    <xf numFmtId="0" fontId="0" fillId="0" borderId="2" xfId="0" applyBorder="1" applyAlignment="1">
      <alignment vertical="top"/>
    </xf>
    <xf numFmtId="0" fontId="0" fillId="0" borderId="5" xfId="0" applyBorder="1" applyAlignment="1">
      <alignment vertical="top"/>
    </xf>
    <xf numFmtId="0" fontId="0" fillId="0" borderId="6" xfId="0" applyBorder="1"/>
    <xf numFmtId="0" fontId="1" fillId="0" borderId="1" xfId="0" applyFont="1" applyBorder="1"/>
    <xf numFmtId="0" fontId="0" fillId="0" borderId="6" xfId="0" applyBorder="1" applyAlignment="1">
      <alignment vertical="top" wrapText="1"/>
    </xf>
    <xf numFmtId="0" fontId="0" fillId="0" borderId="6" xfId="0" applyBorder="1" applyAlignment="1">
      <alignment wrapText="1"/>
    </xf>
    <xf numFmtId="0" fontId="1" fillId="0" borderId="3" xfId="0" applyFont="1" applyBorder="1"/>
    <xf numFmtId="0" fontId="0" fillId="0" borderId="0" xfId="0" applyAlignment="1">
      <alignment horizontal="left" vertical="top"/>
    </xf>
    <xf numFmtId="0" fontId="0" fillId="0" borderId="0" xfId="0" applyAlignment="1">
      <alignment vertical="top" wrapText="1"/>
    </xf>
    <xf numFmtId="0" fontId="1" fillId="0" borderId="0" xfId="0" applyFont="1"/>
    <xf numFmtId="0" fontId="0" fillId="0" borderId="3" xfId="0" applyBorder="1" applyAlignment="1">
      <alignment horizontal="left" vertical="top"/>
    </xf>
    <xf numFmtId="0" fontId="0" fillId="0" borderId="4" xfId="0" applyBorder="1"/>
    <xf numFmtId="0" fontId="0" fillId="0" borderId="4" xfId="0" applyBorder="1" applyAlignment="1">
      <alignment vertical="top"/>
    </xf>
    <xf numFmtId="0" fontId="0" fillId="0" borderId="2" xfId="0" applyBorder="1" applyAlignment="1">
      <alignment horizontal="left" wrapText="1"/>
    </xf>
    <xf numFmtId="0" fontId="0" fillId="0" borderId="0" xfId="0" applyAlignment="1">
      <alignment horizontal="left" wrapText="1"/>
    </xf>
    <xf numFmtId="0" fontId="0" fillId="0" borderId="4" xfId="0" applyBorder="1" applyAlignment="1">
      <alignment vertical="top" wrapText="1"/>
    </xf>
    <xf numFmtId="3" fontId="0" fillId="0" borderId="0" xfId="0" applyNumberFormat="1"/>
    <xf numFmtId="0" fontId="0" fillId="0" borderId="0" xfId="0" applyAlignment="1">
      <alignment horizontal="right" vertical="top"/>
    </xf>
    <xf numFmtId="4" fontId="0" fillId="0" borderId="2" xfId="0" applyNumberFormat="1" applyBorder="1" applyAlignment="1">
      <alignment vertical="top"/>
    </xf>
    <xf numFmtId="0" fontId="1" fillId="0" borderId="4" xfId="0" applyFont="1" applyBorder="1"/>
    <xf numFmtId="0" fontId="1" fillId="0" borderId="7" xfId="0" applyFont="1" applyBorder="1"/>
    <xf numFmtId="0" fontId="1" fillId="0" borderId="8" xfId="0" applyFont="1" applyBorder="1"/>
    <xf numFmtId="0" fontId="0" fillId="0" borderId="1" xfId="0" applyBorder="1" applyAlignment="1">
      <alignment vertical="top" wrapText="1"/>
    </xf>
    <xf numFmtId="0" fontId="0" fillId="0" borderId="0" xfId="0" applyAlignment="1">
      <alignment wrapText="1"/>
    </xf>
    <xf numFmtId="0" fontId="0" fillId="0" borderId="3" xfId="0" applyBorder="1" applyAlignment="1">
      <alignment horizontal="left" vertical="top" wrapText="1"/>
    </xf>
    <xf numFmtId="165" fontId="0" fillId="0" borderId="0" xfId="0" applyNumberFormat="1" applyAlignment="1">
      <alignment vertical="top"/>
    </xf>
    <xf numFmtId="0" fontId="0" fillId="0" borderId="3" xfId="0" applyBorder="1" applyAlignment="1">
      <alignment wrapText="1"/>
    </xf>
    <xf numFmtId="0" fontId="0" fillId="0" borderId="4" xfId="0" applyBorder="1" applyAlignment="1">
      <alignment wrapText="1"/>
    </xf>
    <xf numFmtId="11" fontId="0" fillId="0" borderId="0" xfId="0" applyNumberFormat="1"/>
    <xf numFmtId="14" fontId="0" fillId="0" borderId="0" xfId="0" applyNumberFormat="1"/>
    <xf numFmtId="0" fontId="0" fillId="0" borderId="0" xfId="0" applyAlignment="1">
      <alignment horizontal="right"/>
    </xf>
    <xf numFmtId="0" fontId="0" fillId="0" borderId="6" xfId="0" applyBorder="1" applyAlignment="1">
      <alignment horizontal="left" vertical="top" wrapText="1"/>
    </xf>
    <xf numFmtId="0" fontId="0" fillId="0" borderId="4"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right"/>
    </xf>
    <xf numFmtId="0" fontId="0" fillId="0" borderId="3" xfId="0" applyBorder="1" applyAlignment="1">
      <alignment horizontal="left"/>
    </xf>
    <xf numFmtId="0" fontId="0" fillId="0" borderId="3" xfId="0" applyBorder="1" applyAlignment="1">
      <alignment horizontal="left" vertical="top" wrapText="1"/>
    </xf>
    <xf numFmtId="0" fontId="0" fillId="0" borderId="6" xfId="0" applyBorder="1" applyAlignment="1">
      <alignment horizontal="left" vertical="top"/>
    </xf>
    <xf numFmtId="0" fontId="0" fillId="0" borderId="4" xfId="0" applyBorder="1" applyAlignment="1">
      <alignment horizontal="left" vertical="top" wrapText="1"/>
    </xf>
    <xf numFmtId="0" fontId="0" fillId="0" borderId="4" xfId="0" applyBorder="1" applyAlignment="1">
      <alignment horizontal="right" wrapText="1"/>
    </xf>
    <xf numFmtId="0" fontId="0" fillId="0" borderId="6" xfId="0" applyBorder="1" applyAlignment="1">
      <alignment horizontal="left" wrapText="1"/>
    </xf>
    <xf numFmtId="0" fontId="0" fillId="0" borderId="0" xfId="0" applyAlignment="1">
      <alignment horizontal="left"/>
    </xf>
    <xf numFmtId="0" fontId="0" fillId="0" borderId="3" xfId="0" applyBorder="1" applyAlignment="1">
      <alignment horizontal="center" vertical="center"/>
    </xf>
    <xf numFmtId="0" fontId="0" fillId="0" borderId="3" xfId="0" applyBorder="1" applyAlignment="1">
      <alignment horizontal="left" wrapText="1"/>
    </xf>
    <xf numFmtId="0" fontId="0" fillId="0" borderId="4" xfId="0" applyBorder="1" applyAlignment="1">
      <alignment horizontal="left" wrapText="1"/>
    </xf>
    <xf numFmtId="0" fontId="0" fillId="0" borderId="4" xfId="0" applyBorder="1" applyAlignment="1">
      <alignment horizontal="right" vertical="top" wrapText="1"/>
    </xf>
    <xf numFmtId="0" fontId="0" fillId="0" borderId="3" xfId="0" applyBorder="1" applyAlignment="1">
      <alignment horizontal="center" vertical="top" wrapText="1"/>
    </xf>
    <xf numFmtId="0" fontId="0" fillId="0" borderId="4" xfId="0" applyBorder="1" applyAlignment="1"/>
    <xf numFmtId="0" fontId="0" fillId="0" borderId="3" xfId="0" applyBorder="1" applyAlignment="1"/>
    <xf numFmtId="0" fontId="0" fillId="0" borderId="0" xfId="0" applyBorder="1" applyAlignment="1">
      <alignment horizontal="left" vertical="top"/>
    </xf>
    <xf numFmtId="0" fontId="0" fillId="0" borderId="0" xfId="0" applyBorder="1" applyAlignment="1">
      <alignment horizontal="right"/>
    </xf>
    <xf numFmtId="0" fontId="0" fillId="0" borderId="0" xfId="0" applyBorder="1" applyAlignment="1">
      <alignment vertical="top" wrapText="1"/>
    </xf>
    <xf numFmtId="0" fontId="0" fillId="0" borderId="4" xfId="0"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82280-5E0F-430E-957B-0834C5E99F7D}">
  <dimension ref="A1:V706"/>
  <sheetViews>
    <sheetView tabSelected="1" workbookViewId="0">
      <pane ySplit="2" topLeftCell="A3" activePane="bottomLeft" state="frozen"/>
      <selection pane="bottomLeft" activeCell="A10" sqref="A10"/>
    </sheetView>
  </sheetViews>
  <sheetFormatPr defaultRowHeight="15" x14ac:dyDescent="0.25"/>
  <cols>
    <col min="1" max="1" width="78.5703125" style="4" customWidth="1"/>
    <col min="2" max="2" width="30.7109375" customWidth="1"/>
    <col min="3" max="3" width="37.85546875" style="4" customWidth="1"/>
    <col min="4" max="4" width="19.7109375" customWidth="1"/>
    <col min="5" max="5" width="14.85546875" style="4" customWidth="1"/>
    <col min="6" max="6" width="16" customWidth="1"/>
    <col min="7" max="7" width="9.28515625" customWidth="1"/>
    <col min="8" max="8" width="44" style="4" customWidth="1"/>
    <col min="9" max="9" width="13.28515625" customWidth="1"/>
    <col min="10" max="10" width="8.28515625" bestFit="1" customWidth="1"/>
    <col min="11" max="11" width="46.85546875" style="4" customWidth="1"/>
    <col min="12" max="12" width="96.28515625" style="12" customWidth="1"/>
  </cols>
  <sheetData>
    <row r="1" spans="1:12" x14ac:dyDescent="0.25">
      <c r="A1" s="4" t="s">
        <v>36</v>
      </c>
      <c r="D1" s="30" t="s">
        <v>19</v>
      </c>
      <c r="E1" s="31"/>
      <c r="F1" s="29" t="s">
        <v>16</v>
      </c>
      <c r="G1" s="19"/>
      <c r="H1" s="16"/>
      <c r="I1" s="29" t="s">
        <v>17</v>
      </c>
      <c r="J1" s="19"/>
      <c r="K1" s="16"/>
    </row>
    <row r="2" spans="1:12" s="3" customFormat="1" x14ac:dyDescent="0.25">
      <c r="A2" s="8" t="s">
        <v>0</v>
      </c>
      <c r="B2" s="9" t="s">
        <v>1</v>
      </c>
      <c r="C2" s="8" t="s">
        <v>2</v>
      </c>
      <c r="D2" s="19" t="s">
        <v>18</v>
      </c>
      <c r="E2" s="16" t="s">
        <v>20</v>
      </c>
      <c r="F2" s="9" t="s">
        <v>11</v>
      </c>
      <c r="G2" s="9" t="s">
        <v>3</v>
      </c>
      <c r="H2" s="8" t="s">
        <v>4</v>
      </c>
      <c r="I2" s="9" t="s">
        <v>11</v>
      </c>
      <c r="J2" s="9" t="s">
        <v>3</v>
      </c>
      <c r="K2" s="8" t="s">
        <v>4</v>
      </c>
      <c r="L2" s="13" t="s">
        <v>5</v>
      </c>
    </row>
    <row r="3" spans="1:12" s="3" customFormat="1" ht="30" x14ac:dyDescent="0.25">
      <c r="A3" s="23" t="s">
        <v>204</v>
      </c>
      <c r="B3" s="22" t="s">
        <v>12</v>
      </c>
      <c r="C3" s="6" t="s">
        <v>205</v>
      </c>
      <c r="D3" s="18">
        <v>8580</v>
      </c>
      <c r="E3" s="6" t="s">
        <v>6</v>
      </c>
      <c r="F3" s="28"/>
      <c r="G3" s="10"/>
      <c r="H3" s="11"/>
      <c r="I3" s="3">
        <v>1</v>
      </c>
      <c r="J3" s="10" t="s">
        <v>6</v>
      </c>
      <c r="K3" s="4" t="s">
        <v>218</v>
      </c>
      <c r="L3" s="32" t="s">
        <v>206</v>
      </c>
    </row>
    <row r="4" spans="1:12" ht="45" x14ac:dyDescent="0.25">
      <c r="A4" s="24" t="s">
        <v>208</v>
      </c>
      <c r="B4" s="25" t="s">
        <v>25</v>
      </c>
      <c r="C4" s="6" t="s">
        <v>209</v>
      </c>
      <c r="D4" s="18">
        <v>1</v>
      </c>
      <c r="E4" s="6" t="s">
        <v>6</v>
      </c>
      <c r="F4" s="1">
        <f>1/464.64</f>
        <v>2.1522038567493114E-3</v>
      </c>
      <c r="G4" t="s">
        <v>10</v>
      </c>
      <c r="H4" s="5" t="s">
        <v>207</v>
      </c>
      <c r="I4" s="1">
        <f>1/464.64</f>
        <v>2.1522038567493114E-3</v>
      </c>
      <c r="J4" t="s">
        <v>10</v>
      </c>
      <c r="K4" s="5" t="s">
        <v>211</v>
      </c>
      <c r="L4" s="14" t="s">
        <v>210</v>
      </c>
    </row>
    <row r="5" spans="1:12" ht="30" customHeight="1" x14ac:dyDescent="0.25">
      <c r="A5" s="46" t="s">
        <v>212</v>
      </c>
      <c r="B5" s="48" t="s">
        <v>25</v>
      </c>
      <c r="C5" s="46" t="s">
        <v>213</v>
      </c>
      <c r="D5" s="55">
        <v>753.36599999999999</v>
      </c>
      <c r="E5" s="34" t="s">
        <v>6</v>
      </c>
      <c r="F5" s="35">
        <v>87.072623561487106</v>
      </c>
      <c r="G5" s="1" t="s">
        <v>6</v>
      </c>
      <c r="H5" s="5" t="s">
        <v>214</v>
      </c>
      <c r="K5" s="5"/>
      <c r="L5" s="41" t="s">
        <v>216</v>
      </c>
    </row>
    <row r="6" spans="1:12" ht="36" customHeight="1" x14ac:dyDescent="0.25">
      <c r="A6" s="46"/>
      <c r="B6" s="48"/>
      <c r="C6" s="46"/>
      <c r="D6" s="55"/>
      <c r="E6" s="34"/>
      <c r="F6" s="35">
        <v>-87.072623561487106</v>
      </c>
      <c r="G6" s="1" t="s">
        <v>6</v>
      </c>
      <c r="H6" s="4" t="s">
        <v>215</v>
      </c>
      <c r="I6" s="26"/>
      <c r="J6" s="1"/>
      <c r="L6" s="41"/>
    </row>
    <row r="7" spans="1:12" x14ac:dyDescent="0.25">
      <c r="A7" s="6" t="s">
        <v>35</v>
      </c>
      <c r="B7" s="25" t="s">
        <v>12</v>
      </c>
      <c r="C7" s="6" t="s">
        <v>217</v>
      </c>
      <c r="D7" s="25">
        <v>10500</v>
      </c>
      <c r="E7" s="6" t="s">
        <v>6</v>
      </c>
      <c r="F7">
        <f>-2*0.000721273</f>
        <v>-1.4425460000000001E-3</v>
      </c>
      <c r="G7" s="1" t="s">
        <v>6</v>
      </c>
      <c r="H7" s="4" t="s">
        <v>218</v>
      </c>
      <c r="J7" s="1"/>
      <c r="L7" s="15"/>
    </row>
    <row r="8" spans="1:12" ht="30" x14ac:dyDescent="0.25">
      <c r="A8" s="6" t="s">
        <v>219</v>
      </c>
      <c r="B8" s="25" t="s">
        <v>25</v>
      </c>
      <c r="C8" s="6" t="s">
        <v>220</v>
      </c>
      <c r="D8" s="25">
        <v>1</v>
      </c>
      <c r="E8" s="6" t="s">
        <v>6</v>
      </c>
      <c r="F8">
        <v>1.0580000000000001</v>
      </c>
      <c r="G8" s="1" t="s">
        <v>6</v>
      </c>
      <c r="H8" s="4" t="s">
        <v>34</v>
      </c>
      <c r="I8">
        <v>1.0580000000000001</v>
      </c>
      <c r="J8" t="s">
        <v>6</v>
      </c>
      <c r="K8" s="4" t="s">
        <v>221</v>
      </c>
      <c r="L8" s="14" t="s">
        <v>222</v>
      </c>
    </row>
    <row r="9" spans="1:12" ht="30" x14ac:dyDescent="0.25">
      <c r="A9" s="6" t="s">
        <v>223</v>
      </c>
      <c r="B9" s="25" t="s">
        <v>25</v>
      </c>
      <c r="C9" s="6" t="s">
        <v>224</v>
      </c>
      <c r="D9" s="25">
        <v>1</v>
      </c>
      <c r="E9" s="6" t="s">
        <v>6</v>
      </c>
      <c r="F9">
        <v>1</v>
      </c>
      <c r="G9" s="1" t="s">
        <v>6</v>
      </c>
      <c r="H9" s="4" t="s">
        <v>225</v>
      </c>
      <c r="J9" s="1"/>
      <c r="L9" s="14" t="s">
        <v>226</v>
      </c>
    </row>
    <row r="10" spans="1:12" ht="45" x14ac:dyDescent="0.25">
      <c r="A10" s="6" t="s">
        <v>227</v>
      </c>
      <c r="B10" s="25" t="s">
        <v>228</v>
      </c>
      <c r="D10" s="25"/>
      <c r="E10" s="6"/>
      <c r="J10" s="1"/>
      <c r="L10" s="6" t="s">
        <v>230</v>
      </c>
    </row>
    <row r="11" spans="1:12" ht="33.75" customHeight="1" x14ac:dyDescent="0.25">
      <c r="A11" s="6" t="s">
        <v>229</v>
      </c>
      <c r="B11" s="25" t="s">
        <v>228</v>
      </c>
      <c r="D11" s="25"/>
      <c r="E11" s="6"/>
      <c r="J11" s="1"/>
      <c r="L11" s="6" t="s">
        <v>230</v>
      </c>
    </row>
    <row r="12" spans="1:12" ht="45" x14ac:dyDescent="0.25">
      <c r="A12" s="6" t="s">
        <v>231</v>
      </c>
      <c r="B12" s="25" t="s">
        <v>228</v>
      </c>
      <c r="C12" s="6"/>
      <c r="D12" s="25"/>
      <c r="E12" s="6"/>
      <c r="F12" s="1"/>
      <c r="G12" s="1"/>
      <c r="H12" s="5"/>
      <c r="I12" s="1"/>
      <c r="J12" s="1"/>
      <c r="K12" s="5"/>
      <c r="L12" s="6" t="s">
        <v>233</v>
      </c>
    </row>
    <row r="13" spans="1:12" ht="30" x14ac:dyDescent="0.25">
      <c r="A13" s="6" t="s">
        <v>232</v>
      </c>
      <c r="B13" s="25" t="s">
        <v>228</v>
      </c>
      <c r="C13" s="6"/>
      <c r="D13" s="25"/>
      <c r="E13" s="6"/>
      <c r="L13" s="6" t="s">
        <v>233</v>
      </c>
    </row>
    <row r="14" spans="1:12" ht="30" x14ac:dyDescent="0.25">
      <c r="A14" s="6" t="s">
        <v>234</v>
      </c>
      <c r="B14" s="25" t="s">
        <v>228</v>
      </c>
      <c r="C14" s="6"/>
      <c r="D14" s="25"/>
      <c r="E14" s="6"/>
      <c r="L14" s="14" t="s">
        <v>235</v>
      </c>
    </row>
    <row r="15" spans="1:12" ht="45" x14ac:dyDescent="0.25">
      <c r="A15" s="6" t="s">
        <v>237</v>
      </c>
      <c r="B15" s="25" t="s">
        <v>349</v>
      </c>
      <c r="C15" s="6" t="s">
        <v>350</v>
      </c>
      <c r="D15" s="25">
        <v>1</v>
      </c>
      <c r="E15" s="6" t="s">
        <v>6</v>
      </c>
      <c r="F15">
        <v>0.98599999999999999</v>
      </c>
      <c r="G15" s="24" t="s">
        <v>6</v>
      </c>
      <c r="H15" s="4" t="s">
        <v>351</v>
      </c>
      <c r="L15" s="14" t="s">
        <v>352</v>
      </c>
    </row>
    <row r="16" spans="1:12" ht="45" x14ac:dyDescent="0.25">
      <c r="A16" s="6" t="s">
        <v>238</v>
      </c>
      <c r="B16" s="25" t="s">
        <v>349</v>
      </c>
      <c r="C16" s="6" t="s">
        <v>350</v>
      </c>
      <c r="D16" s="25">
        <v>1</v>
      </c>
      <c r="E16" s="6" t="s">
        <v>6</v>
      </c>
      <c r="F16">
        <v>0.98599999999999999</v>
      </c>
      <c r="G16" s="24" t="s">
        <v>6</v>
      </c>
      <c r="H16" s="4" t="s">
        <v>351</v>
      </c>
      <c r="L16" s="14" t="s">
        <v>352</v>
      </c>
    </row>
    <row r="17" spans="1:12" ht="45" x14ac:dyDescent="0.25">
      <c r="A17" s="6" t="s">
        <v>239</v>
      </c>
      <c r="B17" s="25" t="s">
        <v>228</v>
      </c>
      <c r="C17" s="6"/>
      <c r="D17" s="25"/>
      <c r="E17" s="6"/>
      <c r="L17" s="14" t="s">
        <v>236</v>
      </c>
    </row>
    <row r="18" spans="1:12" ht="18.75" customHeight="1" x14ac:dyDescent="0.25">
      <c r="A18" s="46" t="s">
        <v>240</v>
      </c>
      <c r="B18" s="62" t="s">
        <v>228</v>
      </c>
      <c r="C18" s="56" t="s">
        <v>350</v>
      </c>
      <c r="D18" s="55">
        <v>1</v>
      </c>
      <c r="E18" s="46" t="s">
        <v>6</v>
      </c>
      <c r="F18">
        <v>1</v>
      </c>
      <c r="G18" s="24" t="s">
        <v>6</v>
      </c>
      <c r="H18" s="4" t="s">
        <v>351</v>
      </c>
      <c r="L18" s="41" t="s">
        <v>656</v>
      </c>
    </row>
    <row r="19" spans="1:12" ht="14.25" customHeight="1" x14ac:dyDescent="0.25">
      <c r="A19" s="46"/>
      <c r="B19" s="62"/>
      <c r="C19" s="56"/>
      <c r="D19" s="55"/>
      <c r="E19" s="46"/>
      <c r="F19" s="38">
        <v>3.9999999999999998E-11</v>
      </c>
      <c r="G19" s="24" t="s">
        <v>6</v>
      </c>
      <c r="H19" s="4" t="s">
        <v>655</v>
      </c>
      <c r="L19" s="41"/>
    </row>
    <row r="20" spans="1:12" ht="45" x14ac:dyDescent="0.25">
      <c r="A20" s="6" t="s">
        <v>241</v>
      </c>
      <c r="B20" s="25" t="s">
        <v>228</v>
      </c>
      <c r="C20" s="6"/>
      <c r="D20" s="25"/>
      <c r="E20" s="6"/>
      <c r="L20" s="14" t="s">
        <v>242</v>
      </c>
    </row>
    <row r="21" spans="1:12" ht="45" x14ac:dyDescent="0.25">
      <c r="A21" s="6" t="s">
        <v>243</v>
      </c>
      <c r="B21" s="25" t="s">
        <v>228</v>
      </c>
      <c r="C21" s="6"/>
      <c r="D21" s="25"/>
      <c r="E21" s="6"/>
      <c r="L21" s="14" t="s">
        <v>282</v>
      </c>
    </row>
    <row r="22" spans="1:12" ht="45" x14ac:dyDescent="0.25">
      <c r="A22" s="6" t="s">
        <v>244</v>
      </c>
      <c r="B22" s="25" t="s">
        <v>228</v>
      </c>
      <c r="C22" s="6"/>
      <c r="D22" s="25"/>
      <c r="E22" s="6"/>
      <c r="L22" s="14" t="s">
        <v>282</v>
      </c>
    </row>
    <row r="23" spans="1:12" ht="45" x14ac:dyDescent="0.25">
      <c r="A23" s="6" t="s">
        <v>245</v>
      </c>
      <c r="B23" s="25" t="s">
        <v>228</v>
      </c>
      <c r="C23" s="6"/>
      <c r="D23" s="25"/>
      <c r="E23" s="6"/>
      <c r="L23" s="14" t="s">
        <v>282</v>
      </c>
    </row>
    <row r="24" spans="1:12" ht="45" x14ac:dyDescent="0.25">
      <c r="A24" s="6" t="s">
        <v>246</v>
      </c>
      <c r="B24" s="25" t="s">
        <v>228</v>
      </c>
      <c r="C24" s="6"/>
      <c r="D24" s="25"/>
      <c r="E24" s="6"/>
      <c r="I24" s="21"/>
      <c r="L24" s="14" t="s">
        <v>282</v>
      </c>
    </row>
    <row r="25" spans="1:12" ht="30" x14ac:dyDescent="0.25">
      <c r="A25" s="6" t="s">
        <v>247</v>
      </c>
      <c r="B25" s="25" t="s">
        <v>228</v>
      </c>
      <c r="C25" s="6"/>
      <c r="D25" s="25"/>
      <c r="E25" s="6"/>
      <c r="F25" s="27"/>
      <c r="H25" s="20"/>
      <c r="I25" s="21"/>
      <c r="K25"/>
      <c r="L25" s="14" t="s">
        <v>282</v>
      </c>
    </row>
    <row r="26" spans="1:12" ht="45" x14ac:dyDescent="0.25">
      <c r="A26" s="6" t="s">
        <v>248</v>
      </c>
      <c r="B26" s="25" t="s">
        <v>228</v>
      </c>
      <c r="C26" s="6"/>
      <c r="D26" s="25"/>
      <c r="E26" s="6"/>
      <c r="F26" s="27"/>
      <c r="G26" s="17"/>
      <c r="H26" s="20"/>
      <c r="K26"/>
      <c r="L26" s="14" t="s">
        <v>282</v>
      </c>
    </row>
    <row r="27" spans="1:12" ht="60" x14ac:dyDescent="0.25">
      <c r="A27" s="6" t="s">
        <v>249</v>
      </c>
      <c r="B27" s="25" t="s">
        <v>228</v>
      </c>
      <c r="C27" s="6"/>
      <c r="D27" s="25"/>
      <c r="E27" s="6"/>
      <c r="F27" s="26"/>
      <c r="H27" s="7"/>
      <c r="L27" s="14" t="s">
        <v>282</v>
      </c>
    </row>
    <row r="28" spans="1:12" ht="45" x14ac:dyDescent="0.25">
      <c r="A28" s="6" t="s">
        <v>250</v>
      </c>
      <c r="B28" s="25" t="s">
        <v>228</v>
      </c>
      <c r="C28" s="6"/>
      <c r="D28" s="25"/>
      <c r="E28" s="6"/>
      <c r="F28" s="25"/>
      <c r="L28" s="14" t="s">
        <v>282</v>
      </c>
    </row>
    <row r="29" spans="1:12" ht="45" x14ac:dyDescent="0.25">
      <c r="A29" s="6" t="s">
        <v>251</v>
      </c>
      <c r="B29" s="25" t="s">
        <v>228</v>
      </c>
      <c r="C29" s="6"/>
      <c r="D29" s="25"/>
      <c r="E29" s="6"/>
      <c r="F29" s="25"/>
      <c r="L29" s="14" t="s">
        <v>282</v>
      </c>
    </row>
    <row r="30" spans="1:12" ht="60" x14ac:dyDescent="0.25">
      <c r="A30" s="6" t="s">
        <v>252</v>
      </c>
      <c r="B30" s="25" t="s">
        <v>228</v>
      </c>
      <c r="C30" s="6"/>
      <c r="D30" s="25"/>
      <c r="E30" s="6"/>
      <c r="F30" s="25"/>
      <c r="I30" s="25"/>
      <c r="K30" s="20"/>
      <c r="L30" s="14" t="s">
        <v>282</v>
      </c>
    </row>
    <row r="31" spans="1:12" ht="45" x14ac:dyDescent="0.25">
      <c r="A31" s="6" t="s">
        <v>253</v>
      </c>
      <c r="B31" s="25" t="s">
        <v>228</v>
      </c>
      <c r="C31" s="6"/>
      <c r="D31" s="25"/>
      <c r="E31" s="6"/>
      <c r="F31" s="21"/>
      <c r="I31" s="21"/>
      <c r="L31" s="14" t="s">
        <v>282</v>
      </c>
    </row>
    <row r="32" spans="1:12" ht="45" x14ac:dyDescent="0.25">
      <c r="A32" s="6" t="s">
        <v>254</v>
      </c>
      <c r="B32" s="25" t="s">
        <v>228</v>
      </c>
      <c r="C32" s="6"/>
      <c r="D32" s="25"/>
      <c r="E32" s="6"/>
      <c r="G32" s="33"/>
      <c r="I32" s="21"/>
      <c r="L32" s="14" t="s">
        <v>282</v>
      </c>
    </row>
    <row r="33" spans="1:12" ht="45" x14ac:dyDescent="0.25">
      <c r="A33" s="6" t="s">
        <v>255</v>
      </c>
      <c r="B33" s="25" t="s">
        <v>228</v>
      </c>
      <c r="C33" s="6"/>
      <c r="D33" s="25"/>
      <c r="E33" s="6"/>
      <c r="F33" s="21"/>
      <c r="I33" s="21"/>
      <c r="L33" s="14" t="s">
        <v>282</v>
      </c>
    </row>
    <row r="34" spans="1:12" ht="45" x14ac:dyDescent="0.25">
      <c r="A34" s="6" t="s">
        <v>256</v>
      </c>
      <c r="B34" s="25" t="s">
        <v>228</v>
      </c>
      <c r="C34" s="6"/>
      <c r="D34" s="25"/>
      <c r="E34" s="6"/>
      <c r="F34" s="21"/>
      <c r="H34"/>
      <c r="I34" s="21"/>
      <c r="L34" s="14" t="s">
        <v>282</v>
      </c>
    </row>
    <row r="35" spans="1:12" ht="45" x14ac:dyDescent="0.25">
      <c r="A35" s="6" t="s">
        <v>257</v>
      </c>
      <c r="B35" s="25" t="s">
        <v>228</v>
      </c>
      <c r="C35" s="6"/>
      <c r="D35" s="25"/>
      <c r="E35" s="5"/>
      <c r="H35"/>
      <c r="K35"/>
      <c r="L35" s="14" t="s">
        <v>282</v>
      </c>
    </row>
    <row r="36" spans="1:12" ht="60" x14ac:dyDescent="0.25">
      <c r="A36" s="6" t="s">
        <v>258</v>
      </c>
      <c r="B36" s="25" t="s">
        <v>228</v>
      </c>
      <c r="C36" s="6"/>
      <c r="D36" s="25"/>
      <c r="E36" s="5"/>
      <c r="L36" s="14" t="s">
        <v>282</v>
      </c>
    </row>
    <row r="37" spans="1:12" ht="45" x14ac:dyDescent="0.25">
      <c r="A37" s="6" t="s">
        <v>259</v>
      </c>
      <c r="B37" s="25" t="s">
        <v>228</v>
      </c>
      <c r="C37" s="6"/>
      <c r="D37" s="25"/>
      <c r="E37" s="5"/>
      <c r="L37" s="14" t="s">
        <v>282</v>
      </c>
    </row>
    <row r="38" spans="1:12" ht="45" x14ac:dyDescent="0.25">
      <c r="A38" s="6" t="s">
        <v>260</v>
      </c>
      <c r="B38" s="25" t="s">
        <v>228</v>
      </c>
      <c r="C38" s="6"/>
      <c r="D38" s="25"/>
      <c r="E38" s="5"/>
      <c r="L38" s="14" t="s">
        <v>282</v>
      </c>
    </row>
    <row r="39" spans="1:12" ht="45" x14ac:dyDescent="0.25">
      <c r="A39" s="6" t="s">
        <v>261</v>
      </c>
      <c r="B39" s="25" t="s">
        <v>228</v>
      </c>
      <c r="C39" s="6"/>
      <c r="D39" s="25"/>
      <c r="E39" s="5"/>
      <c r="L39" s="14" t="s">
        <v>282</v>
      </c>
    </row>
    <row r="40" spans="1:12" ht="60" x14ac:dyDescent="0.25">
      <c r="A40" s="6" t="s">
        <v>262</v>
      </c>
      <c r="B40" s="25" t="s">
        <v>228</v>
      </c>
      <c r="C40" s="6"/>
      <c r="D40" s="25"/>
      <c r="E40" s="5"/>
      <c r="G40" s="18"/>
      <c r="L40" s="14" t="s">
        <v>282</v>
      </c>
    </row>
    <row r="41" spans="1:12" ht="60" x14ac:dyDescent="0.25">
      <c r="A41" s="6" t="s">
        <v>263</v>
      </c>
      <c r="B41" s="25" t="s">
        <v>228</v>
      </c>
      <c r="C41" s="6"/>
      <c r="D41" s="25"/>
      <c r="E41" s="5"/>
      <c r="G41" s="1"/>
      <c r="L41" s="14" t="s">
        <v>282</v>
      </c>
    </row>
    <row r="42" spans="1:12" ht="30" x14ac:dyDescent="0.25">
      <c r="A42" s="5" t="s">
        <v>264</v>
      </c>
      <c r="B42" s="25" t="s">
        <v>228</v>
      </c>
      <c r="C42" s="5"/>
      <c r="D42" s="25"/>
      <c r="E42" s="5"/>
      <c r="G42" s="1"/>
      <c r="L42" s="14" t="s">
        <v>282</v>
      </c>
    </row>
    <row r="43" spans="1:12" ht="30" x14ac:dyDescent="0.25">
      <c r="A43" s="5" t="s">
        <v>265</v>
      </c>
      <c r="B43" s="25" t="s">
        <v>228</v>
      </c>
      <c r="C43" s="5"/>
      <c r="D43" s="25"/>
      <c r="E43" s="5"/>
      <c r="G43" s="1"/>
      <c r="L43" s="14" t="s">
        <v>282</v>
      </c>
    </row>
    <row r="44" spans="1:12" ht="30" x14ac:dyDescent="0.25">
      <c r="A44" s="5" t="s">
        <v>266</v>
      </c>
      <c r="B44" s="25" t="s">
        <v>228</v>
      </c>
      <c r="C44" s="5"/>
      <c r="D44" s="25"/>
      <c r="E44" s="5"/>
      <c r="G44" s="1"/>
      <c r="L44" s="14" t="s">
        <v>282</v>
      </c>
    </row>
    <row r="45" spans="1:12" ht="60" x14ac:dyDescent="0.25">
      <c r="A45" s="6" t="s">
        <v>267</v>
      </c>
      <c r="B45" s="25" t="s">
        <v>228</v>
      </c>
      <c r="C45" s="6"/>
      <c r="D45" s="25"/>
      <c r="E45" s="5"/>
      <c r="G45" s="1"/>
      <c r="L45" s="14" t="s">
        <v>282</v>
      </c>
    </row>
    <row r="46" spans="1:12" ht="45" x14ac:dyDescent="0.25">
      <c r="A46" s="6" t="s">
        <v>268</v>
      </c>
      <c r="B46" s="25" t="s">
        <v>228</v>
      </c>
      <c r="C46" s="6"/>
      <c r="D46" s="25"/>
      <c r="E46" s="5"/>
      <c r="G46" s="1"/>
      <c r="L46" s="14" t="s">
        <v>282</v>
      </c>
    </row>
    <row r="47" spans="1:12" ht="45" x14ac:dyDescent="0.25">
      <c r="A47" s="6" t="s">
        <v>269</v>
      </c>
      <c r="B47" s="25" t="s">
        <v>228</v>
      </c>
      <c r="C47" s="6"/>
      <c r="D47" s="25"/>
      <c r="E47" s="5"/>
      <c r="G47" s="1"/>
      <c r="L47" s="14" t="s">
        <v>282</v>
      </c>
    </row>
    <row r="48" spans="1:12" ht="45" x14ac:dyDescent="0.25">
      <c r="A48" s="6" t="s">
        <v>270</v>
      </c>
      <c r="B48" s="25" t="s">
        <v>228</v>
      </c>
      <c r="C48" s="6"/>
      <c r="D48" s="25"/>
      <c r="E48" s="5"/>
      <c r="G48" s="1"/>
      <c r="H48"/>
      <c r="I48" s="21"/>
      <c r="L48" s="14" t="s">
        <v>282</v>
      </c>
    </row>
    <row r="49" spans="1:12" ht="45" x14ac:dyDescent="0.25">
      <c r="A49" s="6" t="s">
        <v>271</v>
      </c>
      <c r="B49" s="25" t="s">
        <v>228</v>
      </c>
      <c r="C49" s="6"/>
      <c r="D49" s="25"/>
      <c r="E49" s="5"/>
      <c r="G49" s="1"/>
      <c r="I49" s="21"/>
      <c r="L49" s="14" t="s">
        <v>282</v>
      </c>
    </row>
    <row r="50" spans="1:12" ht="30" x14ac:dyDescent="0.25">
      <c r="A50" s="6" t="s">
        <v>272</v>
      </c>
      <c r="B50" s="25" t="s">
        <v>228</v>
      </c>
      <c r="C50" s="6"/>
      <c r="D50" s="25"/>
      <c r="E50" s="5"/>
      <c r="G50" s="1"/>
      <c r="I50" s="21"/>
      <c r="L50" s="14" t="s">
        <v>282</v>
      </c>
    </row>
    <row r="51" spans="1:12" ht="30" x14ac:dyDescent="0.25">
      <c r="A51" s="6" t="s">
        <v>273</v>
      </c>
      <c r="B51" s="25" t="s">
        <v>228</v>
      </c>
      <c r="C51" s="6"/>
      <c r="D51" s="25"/>
      <c r="E51" s="5"/>
      <c r="G51" s="1"/>
      <c r="L51" s="14" t="s">
        <v>282</v>
      </c>
    </row>
    <row r="52" spans="1:12" ht="30" x14ac:dyDescent="0.25">
      <c r="A52" s="6" t="s">
        <v>274</v>
      </c>
      <c r="B52" s="25" t="s">
        <v>228</v>
      </c>
      <c r="C52" s="6"/>
      <c r="D52" s="25"/>
      <c r="E52" s="5"/>
      <c r="G52" s="1"/>
      <c r="L52" s="14" t="s">
        <v>282</v>
      </c>
    </row>
    <row r="53" spans="1:12" ht="30" x14ac:dyDescent="0.25">
      <c r="A53" s="6" t="s">
        <v>275</v>
      </c>
      <c r="B53" s="25" t="s">
        <v>228</v>
      </c>
      <c r="C53" s="6"/>
      <c r="D53" s="25"/>
      <c r="E53" s="5"/>
      <c r="G53" s="1"/>
      <c r="L53" s="14" t="s">
        <v>282</v>
      </c>
    </row>
    <row r="54" spans="1:12" ht="30" x14ac:dyDescent="0.25">
      <c r="A54" s="6" t="s">
        <v>276</v>
      </c>
      <c r="B54" s="25" t="s">
        <v>228</v>
      </c>
      <c r="C54" s="6"/>
      <c r="D54" s="25"/>
      <c r="E54" s="5"/>
      <c r="G54" s="1"/>
      <c r="L54" s="14" t="s">
        <v>282</v>
      </c>
    </row>
    <row r="55" spans="1:12" ht="30" x14ac:dyDescent="0.25">
      <c r="A55" s="6" t="s">
        <v>277</v>
      </c>
      <c r="B55" s="25" t="s">
        <v>228</v>
      </c>
      <c r="C55" s="6"/>
      <c r="D55" s="22"/>
      <c r="E55" s="5"/>
      <c r="G55" s="1"/>
      <c r="L55" s="14" t="s">
        <v>282</v>
      </c>
    </row>
    <row r="56" spans="1:12" ht="30" x14ac:dyDescent="0.25">
      <c r="A56" t="s">
        <v>278</v>
      </c>
      <c r="B56" s="25" t="s">
        <v>228</v>
      </c>
      <c r="C56" s="6"/>
      <c r="D56" s="22"/>
      <c r="E56" s="5"/>
      <c r="G56" s="1"/>
      <c r="L56" s="14" t="s">
        <v>282</v>
      </c>
    </row>
    <row r="57" spans="1:12" ht="30" x14ac:dyDescent="0.25">
      <c r="A57" t="s">
        <v>279</v>
      </c>
      <c r="B57" s="25" t="s">
        <v>228</v>
      </c>
      <c r="C57" s="6"/>
      <c r="D57" s="22"/>
      <c r="E57" s="5"/>
      <c r="G57" s="1"/>
      <c r="L57" s="14" t="s">
        <v>282</v>
      </c>
    </row>
    <row r="58" spans="1:12" ht="30" x14ac:dyDescent="0.25">
      <c r="A58" t="s">
        <v>280</v>
      </c>
      <c r="B58" s="25" t="s">
        <v>228</v>
      </c>
      <c r="C58" s="6"/>
      <c r="D58" s="22"/>
      <c r="E58" s="5"/>
      <c r="G58" s="1"/>
      <c r="L58" s="14" t="s">
        <v>282</v>
      </c>
    </row>
    <row r="59" spans="1:12" ht="30" x14ac:dyDescent="0.25">
      <c r="A59" t="s">
        <v>281</v>
      </c>
      <c r="B59" s="25" t="s">
        <v>228</v>
      </c>
      <c r="C59" s="6"/>
      <c r="D59" s="22"/>
      <c r="E59" s="5"/>
      <c r="G59" s="1"/>
      <c r="L59" s="14" t="s">
        <v>282</v>
      </c>
    </row>
    <row r="60" spans="1:12" ht="30" x14ac:dyDescent="0.25">
      <c r="A60" t="s">
        <v>46</v>
      </c>
      <c r="B60" s="25" t="s">
        <v>228</v>
      </c>
      <c r="G60" s="1"/>
      <c r="J60" s="1"/>
      <c r="L60" s="14" t="s">
        <v>282</v>
      </c>
    </row>
    <row r="61" spans="1:12" ht="30" x14ac:dyDescent="0.25">
      <c r="A61" t="s">
        <v>48</v>
      </c>
      <c r="B61" s="25" t="s">
        <v>228</v>
      </c>
      <c r="G61" s="1"/>
      <c r="J61" s="1"/>
      <c r="L61" s="14" t="s">
        <v>282</v>
      </c>
    </row>
    <row r="62" spans="1:12" ht="30" x14ac:dyDescent="0.25">
      <c r="A62" t="s">
        <v>49</v>
      </c>
      <c r="B62" s="25" t="s">
        <v>228</v>
      </c>
      <c r="G62" s="1"/>
      <c r="J62" s="1"/>
      <c r="L62" s="14" t="s">
        <v>282</v>
      </c>
    </row>
    <row r="63" spans="1:12" x14ac:dyDescent="0.25">
      <c r="A63" s="4" t="s">
        <v>283</v>
      </c>
      <c r="B63" s="25" t="s">
        <v>228</v>
      </c>
      <c r="G63" s="1"/>
      <c r="J63" s="1"/>
      <c r="L63" s="4" t="s">
        <v>286</v>
      </c>
    </row>
    <row r="64" spans="1:12" x14ac:dyDescent="0.25">
      <c r="A64" s="4" t="s">
        <v>284</v>
      </c>
      <c r="B64" s="25" t="s">
        <v>228</v>
      </c>
      <c r="G64" s="1"/>
      <c r="J64" s="1"/>
      <c r="L64" s="4" t="s">
        <v>286</v>
      </c>
    </row>
    <row r="65" spans="1:22" x14ac:dyDescent="0.25">
      <c r="A65" s="4" t="s">
        <v>285</v>
      </c>
      <c r="B65" s="25" t="s">
        <v>228</v>
      </c>
      <c r="G65" s="1"/>
      <c r="J65" s="1"/>
      <c r="L65" s="4" t="s">
        <v>286</v>
      </c>
    </row>
    <row r="66" spans="1:22" ht="45" customHeight="1" x14ac:dyDescent="0.25">
      <c r="A66" s="45" t="s">
        <v>287</v>
      </c>
      <c r="B66" s="54" t="s">
        <v>25</v>
      </c>
      <c r="C66" s="53" t="s">
        <v>298</v>
      </c>
      <c r="D66" s="44">
        <v>2340.5</v>
      </c>
      <c r="E66" s="45" t="s">
        <v>6</v>
      </c>
      <c r="F66">
        <v>70</v>
      </c>
      <c r="G66" s="1" t="s">
        <v>6</v>
      </c>
      <c r="H66" s="4" t="s">
        <v>21</v>
      </c>
      <c r="I66" s="1">
        <f>310*0.25</f>
        <v>77.5</v>
      </c>
      <c r="J66" t="s">
        <v>6</v>
      </c>
      <c r="K66" s="4" t="s">
        <v>21</v>
      </c>
      <c r="L66" s="50" t="s">
        <v>299</v>
      </c>
    </row>
    <row r="67" spans="1:22" x14ac:dyDescent="0.25">
      <c r="A67" s="45"/>
      <c r="B67" s="54"/>
      <c r="C67" s="53"/>
      <c r="D67" s="44"/>
      <c r="E67" s="45"/>
      <c r="F67">
        <v>210</v>
      </c>
      <c r="G67" s="1" t="s">
        <v>6</v>
      </c>
      <c r="H67" s="4" t="s">
        <v>22</v>
      </c>
      <c r="I67" s="1">
        <f>310*0.75</f>
        <v>232.5</v>
      </c>
      <c r="J67" t="s">
        <v>6</v>
      </c>
      <c r="K67" s="4" t="s">
        <v>22</v>
      </c>
      <c r="L67" s="50"/>
    </row>
    <row r="68" spans="1:22" x14ac:dyDescent="0.25">
      <c r="A68" s="45"/>
      <c r="B68" s="54"/>
      <c r="C68" s="53"/>
      <c r="D68" s="44"/>
      <c r="E68" s="45"/>
      <c r="F68">
        <v>850</v>
      </c>
      <c r="G68" s="1" t="s">
        <v>6</v>
      </c>
      <c r="H68" s="4" t="s">
        <v>7</v>
      </c>
      <c r="I68" s="1">
        <v>774</v>
      </c>
      <c r="J68" t="s">
        <v>6</v>
      </c>
      <c r="K68" s="4" t="s">
        <v>7</v>
      </c>
      <c r="L68" s="50"/>
    </row>
    <row r="69" spans="1:22" x14ac:dyDescent="0.25">
      <c r="A69" s="45"/>
      <c r="B69" s="54"/>
      <c r="C69" s="53"/>
      <c r="D69" s="44"/>
      <c r="E69" s="45"/>
      <c r="F69">
        <v>1045</v>
      </c>
      <c r="G69" s="1" t="s">
        <v>6</v>
      </c>
      <c r="H69" s="4" t="s">
        <v>8</v>
      </c>
      <c r="I69" s="1">
        <v>1162</v>
      </c>
      <c r="J69" t="s">
        <v>6</v>
      </c>
      <c r="K69" s="4" t="s">
        <v>8</v>
      </c>
      <c r="L69" s="50"/>
    </row>
    <row r="70" spans="1:22" x14ac:dyDescent="0.25">
      <c r="A70" s="45"/>
      <c r="B70" s="54"/>
      <c r="C70" s="53"/>
      <c r="D70" s="44"/>
      <c r="E70" s="45"/>
      <c r="F70">
        <v>165</v>
      </c>
      <c r="G70" s="1" t="s">
        <v>6</v>
      </c>
      <c r="H70" s="4" t="s">
        <v>9</v>
      </c>
      <c r="I70" s="1">
        <v>161</v>
      </c>
      <c r="J70" t="s">
        <v>6</v>
      </c>
      <c r="K70" s="4" t="s">
        <v>288</v>
      </c>
      <c r="L70" s="50"/>
    </row>
    <row r="71" spans="1:22" x14ac:dyDescent="0.25">
      <c r="A71" s="45"/>
      <c r="B71" s="54"/>
      <c r="C71" s="53"/>
      <c r="D71" s="44"/>
      <c r="E71" s="45"/>
      <c r="F71">
        <v>0.5</v>
      </c>
      <c r="G71" s="1" t="s">
        <v>6</v>
      </c>
      <c r="H71" s="4" t="s">
        <v>24</v>
      </c>
      <c r="I71" s="4">
        <v>1</v>
      </c>
      <c r="J71" t="s">
        <v>10</v>
      </c>
      <c r="K71" s="4" t="s">
        <v>289</v>
      </c>
      <c r="L71" s="50"/>
    </row>
    <row r="72" spans="1:22" x14ac:dyDescent="0.25">
      <c r="A72" s="45"/>
      <c r="B72" s="54"/>
      <c r="C72" s="53"/>
      <c r="D72" s="44"/>
      <c r="E72" s="45"/>
      <c r="F72">
        <f>0.0000000002*2340.5</f>
        <v>4.6810000000000002E-7</v>
      </c>
      <c r="G72" s="1" t="s">
        <v>292</v>
      </c>
      <c r="H72" s="4" t="s">
        <v>291</v>
      </c>
      <c r="I72" s="4">
        <v>56.7</v>
      </c>
      <c r="J72" t="s">
        <v>15</v>
      </c>
      <c r="K72" s="4" t="s">
        <v>14</v>
      </c>
      <c r="L72" s="50"/>
    </row>
    <row r="73" spans="1:22" x14ac:dyDescent="0.25">
      <c r="A73" s="45"/>
      <c r="B73" s="54"/>
      <c r="C73" s="53"/>
      <c r="D73" s="44"/>
      <c r="E73" s="45"/>
      <c r="F73">
        <v>84</v>
      </c>
      <c r="G73" s="1" t="s">
        <v>15</v>
      </c>
      <c r="H73" s="4" t="s">
        <v>14</v>
      </c>
      <c r="I73" s="4">
        <v>471.84</v>
      </c>
      <c r="J73" t="s">
        <v>15</v>
      </c>
      <c r="K73" s="4" t="s">
        <v>290</v>
      </c>
      <c r="L73" s="50"/>
    </row>
    <row r="74" spans="1:22" x14ac:dyDescent="0.25">
      <c r="A74" s="45"/>
      <c r="B74" s="54"/>
      <c r="C74" s="53"/>
      <c r="D74" s="44"/>
      <c r="E74" s="45"/>
      <c r="F74">
        <v>3.63</v>
      </c>
      <c r="G74" s="1" t="s">
        <v>294</v>
      </c>
      <c r="H74" s="4" t="s">
        <v>293</v>
      </c>
      <c r="J74" s="1"/>
      <c r="L74" s="50"/>
    </row>
    <row r="75" spans="1:22" x14ac:dyDescent="0.25">
      <c r="A75" s="45"/>
      <c r="B75" s="54"/>
      <c r="C75" s="53"/>
      <c r="D75" s="44"/>
      <c r="E75" s="45"/>
      <c r="F75">
        <v>0.123</v>
      </c>
      <c r="G75" s="1" t="s">
        <v>296</v>
      </c>
      <c r="H75" s="4" t="s">
        <v>295</v>
      </c>
      <c r="J75" s="1"/>
      <c r="L75" s="50"/>
    </row>
    <row r="76" spans="1:22" x14ac:dyDescent="0.25">
      <c r="A76" s="45"/>
      <c r="B76" s="54"/>
      <c r="C76" s="53"/>
      <c r="D76" s="44"/>
      <c r="E76" s="45"/>
      <c r="F76">
        <v>0.14099999999999999</v>
      </c>
      <c r="G76" t="s">
        <v>10</v>
      </c>
      <c r="H76" s="4" t="s">
        <v>297</v>
      </c>
      <c r="L76" s="50"/>
    </row>
    <row r="77" spans="1:22" ht="30" customHeight="1" x14ac:dyDescent="0.25">
      <c r="A77" s="45" t="s">
        <v>300</v>
      </c>
      <c r="B77" s="54" t="s">
        <v>25</v>
      </c>
      <c r="C77" s="53" t="s">
        <v>301</v>
      </c>
      <c r="D77" s="44">
        <v>1</v>
      </c>
      <c r="E77" s="45" t="s">
        <v>6</v>
      </c>
      <c r="F77">
        <f>263*3.6/35.8*0.00000263</f>
        <v>6.9555418994413418E-5</v>
      </c>
      <c r="G77" t="s">
        <v>296</v>
      </c>
      <c r="H77" s="4" t="s">
        <v>302</v>
      </c>
      <c r="I77" s="38">
        <v>2.6299999999999998E-6</v>
      </c>
      <c r="J77" t="s">
        <v>141</v>
      </c>
      <c r="K77" s="4" t="s">
        <v>162</v>
      </c>
      <c r="L77" s="53" t="s">
        <v>312</v>
      </c>
    </row>
    <row r="78" spans="1:22" x14ac:dyDescent="0.25">
      <c r="A78" s="45"/>
      <c r="B78" s="54"/>
      <c r="C78" s="53"/>
      <c r="D78" s="44"/>
      <c r="E78" s="45"/>
      <c r="F78">
        <f>263*3.6/35.8*0.00000263</f>
        <v>6.9555418994413418E-5</v>
      </c>
      <c r="G78" t="s">
        <v>296</v>
      </c>
      <c r="H78" s="4" t="s">
        <v>302</v>
      </c>
      <c r="I78" s="38">
        <v>2.6299999999999998E-6</v>
      </c>
      <c r="J78" t="s">
        <v>141</v>
      </c>
      <c r="K78" s="4" t="s">
        <v>162</v>
      </c>
      <c r="L78" s="53"/>
    </row>
    <row r="79" spans="1:22" ht="30" customHeight="1" x14ac:dyDescent="0.25">
      <c r="A79" s="53" t="s">
        <v>303</v>
      </c>
      <c r="B79" s="54" t="s">
        <v>25</v>
      </c>
      <c r="C79" s="53" t="s">
        <v>304</v>
      </c>
      <c r="D79" s="44">
        <v>1</v>
      </c>
      <c r="E79" s="45" t="s">
        <v>305</v>
      </c>
      <c r="F79">
        <v>16.11</v>
      </c>
      <c r="G79" t="s">
        <v>30</v>
      </c>
      <c r="H79" s="4" t="s">
        <v>306</v>
      </c>
      <c r="I79">
        <v>15.3</v>
      </c>
      <c r="J79" t="s">
        <v>30</v>
      </c>
      <c r="K79" s="4" t="s">
        <v>150</v>
      </c>
      <c r="L79" s="53" t="s">
        <v>313</v>
      </c>
      <c r="V79" s="39"/>
    </row>
    <row r="80" spans="1:22" x14ac:dyDescent="0.25">
      <c r="A80" s="53"/>
      <c r="B80" s="54"/>
      <c r="C80" s="53"/>
      <c r="D80" s="44"/>
      <c r="E80" s="45"/>
      <c r="F80">
        <f>-0.0000086*16.11</f>
        <v>-1.38546E-4</v>
      </c>
      <c r="G80" t="s">
        <v>292</v>
      </c>
      <c r="H80" s="4" t="s">
        <v>307</v>
      </c>
      <c r="L80" s="53"/>
    </row>
    <row r="81" spans="1:14" x14ac:dyDescent="0.25">
      <c r="A81" s="53"/>
      <c r="B81" s="54"/>
      <c r="C81" s="53"/>
      <c r="D81" s="44"/>
      <c r="E81" s="45"/>
      <c r="F81">
        <f>-0.010666667*16.11</f>
        <v>-0.17184000536999999</v>
      </c>
      <c r="G81" t="s">
        <v>6</v>
      </c>
      <c r="H81" s="4" t="s">
        <v>308</v>
      </c>
      <c r="L81" s="53"/>
    </row>
    <row r="82" spans="1:14" x14ac:dyDescent="0.25">
      <c r="A82" s="53"/>
      <c r="B82" s="54"/>
      <c r="C82" s="53"/>
      <c r="D82" s="44"/>
      <c r="E82" s="45"/>
      <c r="F82">
        <f>-0.000911396*16.11</f>
        <v>-1.4682589559999999E-2</v>
      </c>
      <c r="G82" t="s">
        <v>310</v>
      </c>
      <c r="H82" s="4" t="s">
        <v>309</v>
      </c>
      <c r="L82" s="53"/>
    </row>
    <row r="83" spans="1:14" x14ac:dyDescent="0.25">
      <c r="A83" s="53"/>
      <c r="B83" s="54"/>
      <c r="C83" s="53"/>
      <c r="D83" s="44"/>
      <c r="E83" s="45"/>
      <c r="F83">
        <f>-0.000265427*16.11</f>
        <v>-4.2760289699999999E-3</v>
      </c>
      <c r="G83" t="s">
        <v>310</v>
      </c>
      <c r="H83" s="4" t="s">
        <v>311</v>
      </c>
      <c r="L83" s="53"/>
    </row>
    <row r="84" spans="1:14" x14ac:dyDescent="0.25">
      <c r="A84" s="53" t="s">
        <v>314</v>
      </c>
      <c r="B84" s="54" t="s">
        <v>25</v>
      </c>
      <c r="C84" s="53" t="s">
        <v>315</v>
      </c>
      <c r="D84" s="44">
        <v>1</v>
      </c>
      <c r="E84" s="45" t="s">
        <v>6</v>
      </c>
      <c r="F84">
        <v>0.7</v>
      </c>
      <c r="G84" t="s">
        <v>6</v>
      </c>
      <c r="H84" s="4" t="s">
        <v>319</v>
      </c>
      <c r="I84">
        <v>0.65</v>
      </c>
      <c r="J84" t="s">
        <v>6</v>
      </c>
      <c r="K84" s="4" t="s">
        <v>316</v>
      </c>
      <c r="L84" s="43" t="s">
        <v>318</v>
      </c>
    </row>
    <row r="85" spans="1:14" x14ac:dyDescent="0.25">
      <c r="A85" s="53"/>
      <c r="B85" s="54"/>
      <c r="C85" s="53"/>
      <c r="D85" s="44"/>
      <c r="E85" s="45"/>
      <c r="F85">
        <v>0.3</v>
      </c>
      <c r="G85" t="s">
        <v>6</v>
      </c>
      <c r="H85" s="4" t="s">
        <v>320</v>
      </c>
      <c r="I85">
        <v>0.35</v>
      </c>
      <c r="J85" t="s">
        <v>6</v>
      </c>
      <c r="K85" s="4" t="s">
        <v>317</v>
      </c>
      <c r="L85" s="43"/>
    </row>
    <row r="86" spans="1:14" ht="30" customHeight="1" x14ac:dyDescent="0.25">
      <c r="A86" s="43" t="s">
        <v>321</v>
      </c>
      <c r="B86" s="48" t="s">
        <v>25</v>
      </c>
      <c r="C86" s="46" t="s">
        <v>324</v>
      </c>
      <c r="D86" s="44">
        <v>1</v>
      </c>
      <c r="E86" s="45" t="s">
        <v>6</v>
      </c>
      <c r="F86">
        <v>6.48910783</v>
      </c>
      <c r="G86" t="s">
        <v>56</v>
      </c>
      <c r="H86" s="4" t="s">
        <v>322</v>
      </c>
      <c r="I86">
        <f>41.5*45/1000</f>
        <v>1.8674999999999999</v>
      </c>
      <c r="J86" t="s">
        <v>56</v>
      </c>
      <c r="K86" s="4" t="s">
        <v>322</v>
      </c>
      <c r="L86" s="47" t="s">
        <v>325</v>
      </c>
    </row>
    <row r="87" spans="1:14" x14ac:dyDescent="0.25">
      <c r="A87" s="43"/>
      <c r="B87" s="48"/>
      <c r="C87" s="46"/>
      <c r="D87" s="44"/>
      <c r="E87" s="45"/>
      <c r="F87" s="2">
        <v>0.17530000000000001</v>
      </c>
      <c r="G87" t="s">
        <v>294</v>
      </c>
      <c r="H87" s="4" t="s">
        <v>323</v>
      </c>
      <c r="I87">
        <f>1.26</f>
        <v>1.26</v>
      </c>
      <c r="J87" t="s">
        <v>294</v>
      </c>
      <c r="K87" s="4" t="s">
        <v>323</v>
      </c>
      <c r="L87" s="47"/>
    </row>
    <row r="88" spans="1:14" ht="45" customHeight="1" x14ac:dyDescent="0.25">
      <c r="A88" s="46" t="s">
        <v>326</v>
      </c>
      <c r="B88" s="54" t="s">
        <v>25</v>
      </c>
      <c r="C88" s="53" t="s">
        <v>327</v>
      </c>
      <c r="D88" s="44">
        <v>1</v>
      </c>
      <c r="E88" s="45" t="s">
        <v>6</v>
      </c>
      <c r="F88">
        <v>1</v>
      </c>
      <c r="G88" t="s">
        <v>6</v>
      </c>
      <c r="H88" s="4" t="s">
        <v>328</v>
      </c>
      <c r="L88" s="50" t="s">
        <v>330</v>
      </c>
      <c r="N88" s="38"/>
    </row>
    <row r="89" spans="1:14" x14ac:dyDescent="0.25">
      <c r="A89" s="46"/>
      <c r="B89" s="54"/>
      <c r="C89" s="53"/>
      <c r="D89" s="44"/>
      <c r="E89" s="45"/>
      <c r="F89" s="2">
        <v>-1.31</v>
      </c>
      <c r="G89" t="s">
        <v>6</v>
      </c>
      <c r="H89" s="4" t="s">
        <v>329</v>
      </c>
      <c r="L89" s="50"/>
      <c r="N89" s="38"/>
    </row>
    <row r="90" spans="1:14" ht="30" x14ac:dyDescent="0.25">
      <c r="A90" s="5" t="s">
        <v>331</v>
      </c>
      <c r="B90" s="37" t="s">
        <v>332</v>
      </c>
      <c r="C90" s="36" t="s">
        <v>333</v>
      </c>
      <c r="D90">
        <v>0.4</v>
      </c>
      <c r="E90" s="4" t="s">
        <v>56</v>
      </c>
      <c r="F90" s="2"/>
      <c r="L90" s="36" t="s">
        <v>335</v>
      </c>
    </row>
    <row r="91" spans="1:14" ht="30" x14ac:dyDescent="0.25">
      <c r="A91" s="4" t="s">
        <v>336</v>
      </c>
      <c r="B91" s="37" t="s">
        <v>332</v>
      </c>
      <c r="C91" s="36" t="s">
        <v>333</v>
      </c>
      <c r="D91">
        <v>0.4</v>
      </c>
      <c r="E91" s="4" t="s">
        <v>56</v>
      </c>
      <c r="L91" s="36" t="s">
        <v>335</v>
      </c>
    </row>
    <row r="92" spans="1:14" ht="45" customHeight="1" x14ac:dyDescent="0.25">
      <c r="A92" s="46" t="s">
        <v>337</v>
      </c>
      <c r="B92" s="54" t="s">
        <v>332</v>
      </c>
      <c r="C92" s="53" t="s">
        <v>334</v>
      </c>
      <c r="D92" s="44">
        <v>1</v>
      </c>
      <c r="E92" s="45" t="s">
        <v>56</v>
      </c>
      <c r="F92">
        <f>(1/0.45)-1</f>
        <v>1.2222222222222223</v>
      </c>
      <c r="G92" t="s">
        <v>56</v>
      </c>
      <c r="H92" s="4" t="s">
        <v>339</v>
      </c>
      <c r="L92" s="41" t="s">
        <v>342</v>
      </c>
    </row>
    <row r="93" spans="1:14" x14ac:dyDescent="0.25">
      <c r="A93" s="46"/>
      <c r="B93" s="54"/>
      <c r="C93" s="53"/>
      <c r="D93" s="44"/>
      <c r="E93" s="45"/>
      <c r="F93">
        <f>-0.0234/0.45</f>
        <v>-5.1999999999999998E-2</v>
      </c>
      <c r="G93" t="s">
        <v>6</v>
      </c>
      <c r="H93" s="4" t="s">
        <v>340</v>
      </c>
      <c r="L93" s="41"/>
    </row>
    <row r="94" spans="1:14" x14ac:dyDescent="0.25">
      <c r="A94" s="46"/>
      <c r="B94" s="54"/>
      <c r="C94" s="53"/>
      <c r="D94" s="44"/>
      <c r="E94" s="45"/>
      <c r="F94">
        <f>0.0234/0.45</f>
        <v>5.1999999999999998E-2</v>
      </c>
      <c r="G94" t="s">
        <v>305</v>
      </c>
      <c r="H94" s="4" t="s">
        <v>341</v>
      </c>
      <c r="L94" s="41"/>
    </row>
    <row r="95" spans="1:14" ht="30" customHeight="1" x14ac:dyDescent="0.25">
      <c r="A95" s="43" t="s">
        <v>338</v>
      </c>
      <c r="B95" s="48" t="s">
        <v>332</v>
      </c>
      <c r="C95" s="46" t="s">
        <v>334</v>
      </c>
      <c r="D95" s="44">
        <v>1</v>
      </c>
      <c r="E95" s="45" t="s">
        <v>294</v>
      </c>
      <c r="F95">
        <f>0.0234*8/0.832</f>
        <v>0.22500000000000001</v>
      </c>
      <c r="G95" t="s">
        <v>296</v>
      </c>
      <c r="H95" t="s">
        <v>341</v>
      </c>
      <c r="I95">
        <v>1</v>
      </c>
      <c r="J95" t="s">
        <v>294</v>
      </c>
      <c r="K95" s="4" t="s">
        <v>344</v>
      </c>
      <c r="L95" s="41" t="s">
        <v>343</v>
      </c>
    </row>
    <row r="96" spans="1:14" x14ac:dyDescent="0.25">
      <c r="A96" s="43"/>
      <c r="B96" s="48"/>
      <c r="C96" s="46"/>
      <c r="D96" s="44"/>
      <c r="E96" s="45"/>
      <c r="F96">
        <f>0.0000116579999999992*8</f>
        <v>9.3263999999993597E-5</v>
      </c>
      <c r="G96" t="s">
        <v>6</v>
      </c>
      <c r="H96" t="s">
        <v>345</v>
      </c>
      <c r="L96" s="41"/>
    </row>
    <row r="97" spans="1:12" x14ac:dyDescent="0.25">
      <c r="A97" s="43"/>
      <c r="B97" s="48"/>
      <c r="C97" s="46"/>
      <c r="D97" s="44"/>
      <c r="E97" s="45"/>
      <c r="F97">
        <f>0.0000553420000000008*8</f>
        <v>4.4273600000000639E-4</v>
      </c>
      <c r="G97" t="s">
        <v>6</v>
      </c>
      <c r="H97" t="s">
        <v>346</v>
      </c>
      <c r="L97" s="41"/>
    </row>
    <row r="98" spans="1:12" x14ac:dyDescent="0.25">
      <c r="A98" s="43"/>
      <c r="B98" s="48"/>
      <c r="C98" s="46"/>
      <c r="D98" s="44"/>
      <c r="E98" s="45"/>
      <c r="F98">
        <f>1.17443674013943E-06*8</f>
        <v>9.3954939211154408E-6</v>
      </c>
      <c r="G98" t="s">
        <v>292</v>
      </c>
      <c r="H98" t="s">
        <v>347</v>
      </c>
      <c r="L98" s="41"/>
    </row>
    <row r="99" spans="1:12" x14ac:dyDescent="0.25">
      <c r="A99" s="43"/>
      <c r="B99" s="48"/>
      <c r="C99" s="46"/>
      <c r="D99" s="44"/>
      <c r="E99" s="45"/>
      <c r="F99">
        <f>1*8</f>
        <v>8</v>
      </c>
      <c r="G99" t="s">
        <v>56</v>
      </c>
      <c r="H99" s="4" t="s">
        <v>348</v>
      </c>
      <c r="L99" s="41"/>
    </row>
    <row r="100" spans="1:12" x14ac:dyDescent="0.25">
      <c r="A100" s="4" t="s">
        <v>353</v>
      </c>
      <c r="B100" s="1" t="s">
        <v>25</v>
      </c>
      <c r="C100" s="4" t="s">
        <v>355</v>
      </c>
      <c r="D100">
        <v>1</v>
      </c>
      <c r="E100" s="4" t="s">
        <v>6</v>
      </c>
      <c r="F100">
        <v>0.98599999999999999</v>
      </c>
      <c r="G100" s="24" t="s">
        <v>6</v>
      </c>
      <c r="H100" s="4" t="s">
        <v>351</v>
      </c>
      <c r="L100" s="4" t="s">
        <v>356</v>
      </c>
    </row>
    <row r="101" spans="1:12" x14ac:dyDescent="0.25">
      <c r="A101" s="4" t="s">
        <v>354</v>
      </c>
      <c r="B101" s="1" t="s">
        <v>25</v>
      </c>
      <c r="C101" s="4" t="s">
        <v>355</v>
      </c>
      <c r="D101">
        <v>1</v>
      </c>
      <c r="E101" s="4" t="s">
        <v>6</v>
      </c>
      <c r="F101">
        <v>1</v>
      </c>
      <c r="G101" s="24" t="s">
        <v>6</v>
      </c>
      <c r="H101" s="4" t="s">
        <v>351</v>
      </c>
      <c r="L101" s="4" t="s">
        <v>356</v>
      </c>
    </row>
    <row r="102" spans="1:12" x14ac:dyDescent="0.25">
      <c r="A102" s="46" t="s">
        <v>357</v>
      </c>
      <c r="B102" s="42" t="s">
        <v>12</v>
      </c>
      <c r="C102" s="45" t="s">
        <v>358</v>
      </c>
      <c r="D102" s="44">
        <v>1</v>
      </c>
      <c r="E102" s="45" t="s">
        <v>27</v>
      </c>
      <c r="F102">
        <f>24*(660-150)</f>
        <v>12240</v>
      </c>
      <c r="G102" t="s">
        <v>166</v>
      </c>
      <c r="H102" s="4" t="s">
        <v>359</v>
      </c>
      <c r="I102">
        <v>350</v>
      </c>
      <c r="J102" t="s">
        <v>6</v>
      </c>
      <c r="K102" s="4" t="s">
        <v>8</v>
      </c>
      <c r="L102" s="50" t="s">
        <v>362</v>
      </c>
    </row>
    <row r="103" spans="1:12" x14ac:dyDescent="0.25">
      <c r="A103" s="46"/>
      <c r="B103" s="42"/>
      <c r="C103" s="45"/>
      <c r="D103" s="44"/>
      <c r="E103" s="45"/>
      <c r="F103">
        <v>350</v>
      </c>
      <c r="G103" t="s">
        <v>6</v>
      </c>
      <c r="H103" s="4" t="s">
        <v>360</v>
      </c>
      <c r="I103">
        <f>12.02-8.98</f>
        <v>3.0399999999999991</v>
      </c>
      <c r="J103" t="s">
        <v>294</v>
      </c>
      <c r="K103" s="4" t="s">
        <v>361</v>
      </c>
      <c r="L103" s="50"/>
    </row>
    <row r="104" spans="1:12" x14ac:dyDescent="0.25">
      <c r="A104" s="46"/>
      <c r="B104" s="42"/>
      <c r="C104" s="45"/>
      <c r="D104" s="44"/>
      <c r="E104" s="45"/>
      <c r="F104">
        <f>8.42-7.88</f>
        <v>0.54</v>
      </c>
      <c r="G104" t="s">
        <v>10</v>
      </c>
      <c r="H104" s="4" t="s">
        <v>297</v>
      </c>
      <c r="L104" s="50"/>
    </row>
    <row r="105" spans="1:12" x14ac:dyDescent="0.25">
      <c r="A105" s="46" t="s">
        <v>363</v>
      </c>
      <c r="B105" s="42" t="s">
        <v>25</v>
      </c>
      <c r="C105" s="53" t="s">
        <v>366</v>
      </c>
      <c r="D105" s="44">
        <v>1</v>
      </c>
      <c r="E105" s="45" t="s">
        <v>27</v>
      </c>
      <c r="F105">
        <v>49</v>
      </c>
      <c r="G105" t="s">
        <v>6</v>
      </c>
      <c r="H105" s="4" t="s">
        <v>64</v>
      </c>
      <c r="I105">
        <f>49*0.1</f>
        <v>4.9000000000000004</v>
      </c>
      <c r="J105" t="s">
        <v>6</v>
      </c>
      <c r="K105" s="4" t="s">
        <v>364</v>
      </c>
      <c r="L105" s="53" t="s">
        <v>366</v>
      </c>
    </row>
    <row r="106" spans="1:12" x14ac:dyDescent="0.25">
      <c r="A106" s="46"/>
      <c r="B106" s="42"/>
      <c r="C106" s="53"/>
      <c r="D106" s="44"/>
      <c r="E106" s="45"/>
      <c r="I106">
        <f>49*0.9</f>
        <v>44.1</v>
      </c>
      <c r="J106" t="s">
        <v>6</v>
      </c>
      <c r="K106" s="4" t="s">
        <v>365</v>
      </c>
      <c r="L106" s="53"/>
    </row>
    <row r="107" spans="1:12" x14ac:dyDescent="0.25">
      <c r="A107" s="46" t="s">
        <v>367</v>
      </c>
      <c r="B107" s="42" t="s">
        <v>12</v>
      </c>
      <c r="C107" s="43" t="s">
        <v>358</v>
      </c>
      <c r="D107" s="44">
        <v>1</v>
      </c>
      <c r="E107" s="45" t="s">
        <v>27</v>
      </c>
      <c r="F107">
        <v>10</v>
      </c>
      <c r="G107" t="s">
        <v>6</v>
      </c>
      <c r="H107" s="4" t="s">
        <v>64</v>
      </c>
      <c r="I107">
        <v>25</v>
      </c>
      <c r="J107" t="s">
        <v>6</v>
      </c>
      <c r="K107" s="4" t="s">
        <v>54</v>
      </c>
      <c r="L107" s="53" t="s">
        <v>368</v>
      </c>
    </row>
    <row r="108" spans="1:12" x14ac:dyDescent="0.25">
      <c r="A108" s="46"/>
      <c r="B108" s="42"/>
      <c r="C108" s="43"/>
      <c r="D108" s="44"/>
      <c r="E108" s="45"/>
      <c r="I108">
        <f>25*250</f>
        <v>6250</v>
      </c>
      <c r="J108" t="s">
        <v>166</v>
      </c>
      <c r="K108" s="4" t="s">
        <v>14</v>
      </c>
      <c r="L108" s="53"/>
    </row>
    <row r="109" spans="1:12" x14ac:dyDescent="0.25">
      <c r="A109" s="46"/>
      <c r="B109" s="42"/>
      <c r="C109" s="43"/>
      <c r="D109" s="44"/>
      <c r="E109" s="45"/>
      <c r="I109">
        <f>10*0.1</f>
        <v>1</v>
      </c>
      <c r="J109" t="s">
        <v>6</v>
      </c>
      <c r="K109" s="4" t="s">
        <v>364</v>
      </c>
      <c r="L109" s="53"/>
    </row>
    <row r="110" spans="1:12" x14ac:dyDescent="0.25">
      <c r="A110" s="46"/>
      <c r="B110" s="42"/>
      <c r="C110" s="43"/>
      <c r="D110" s="44"/>
      <c r="E110" s="45"/>
      <c r="I110">
        <f>10*0.9</f>
        <v>9</v>
      </c>
      <c r="J110" t="s">
        <v>6</v>
      </c>
      <c r="K110" s="4" t="s">
        <v>365</v>
      </c>
      <c r="L110" s="53"/>
    </row>
    <row r="111" spans="1:12" ht="15" customHeight="1" x14ac:dyDescent="0.25">
      <c r="A111" s="46" t="s">
        <v>369</v>
      </c>
      <c r="B111" s="48" t="s">
        <v>25</v>
      </c>
      <c r="C111" s="46" t="s">
        <v>371</v>
      </c>
      <c r="D111" s="49">
        <v>1</v>
      </c>
      <c r="E111" s="45" t="s">
        <v>27</v>
      </c>
      <c r="F111">
        <v>29</v>
      </c>
      <c r="G111" t="s">
        <v>6</v>
      </c>
      <c r="H111" s="4" t="s">
        <v>54</v>
      </c>
      <c r="I111" s="44">
        <v>1</v>
      </c>
      <c r="J111" s="51" t="s">
        <v>27</v>
      </c>
      <c r="K111" s="52" t="s">
        <v>370</v>
      </c>
      <c r="L111" s="50" t="s">
        <v>372</v>
      </c>
    </row>
    <row r="112" spans="1:12" x14ac:dyDescent="0.25">
      <c r="A112" s="46"/>
      <c r="B112" s="48"/>
      <c r="C112" s="46"/>
      <c r="D112" s="49"/>
      <c r="E112" s="45"/>
      <c r="F112">
        <f>29*250</f>
        <v>7250</v>
      </c>
      <c r="G112" t="s">
        <v>166</v>
      </c>
      <c r="H112" s="4" t="s">
        <v>14</v>
      </c>
      <c r="I112" s="44"/>
      <c r="J112" s="51"/>
      <c r="K112" s="52"/>
      <c r="L112" s="50"/>
    </row>
    <row r="113" spans="1:12" x14ac:dyDescent="0.25">
      <c r="A113" s="46"/>
      <c r="B113" s="48"/>
      <c r="C113" s="46"/>
      <c r="D113" s="49"/>
      <c r="E113" s="45"/>
      <c r="F113">
        <v>7</v>
      </c>
      <c r="G113" t="s">
        <v>6</v>
      </c>
      <c r="H113" s="4" t="s">
        <v>300</v>
      </c>
      <c r="I113" s="44"/>
      <c r="J113" s="51"/>
      <c r="K113" s="52"/>
      <c r="L113" s="50"/>
    </row>
    <row r="114" spans="1:12" x14ac:dyDescent="0.25">
      <c r="A114" s="46"/>
      <c r="B114" s="48"/>
      <c r="C114" s="46"/>
      <c r="D114" s="49"/>
      <c r="E114" s="45"/>
      <c r="F114">
        <f>7*25</f>
        <v>175</v>
      </c>
      <c r="G114" t="s">
        <v>166</v>
      </c>
      <c r="H114" s="4" t="s">
        <v>14</v>
      </c>
      <c r="I114" s="44"/>
      <c r="J114" s="51"/>
      <c r="K114" s="52"/>
      <c r="L114" s="50"/>
    </row>
    <row r="115" spans="1:12" x14ac:dyDescent="0.25">
      <c r="A115" s="46"/>
      <c r="B115" s="48"/>
      <c r="C115" s="46"/>
      <c r="D115" s="49"/>
      <c r="E115" s="45"/>
      <c r="F115">
        <f>7*150</f>
        <v>1050</v>
      </c>
      <c r="G115" t="s">
        <v>166</v>
      </c>
      <c r="H115" s="4" t="s">
        <v>359</v>
      </c>
      <c r="I115" s="44"/>
      <c r="J115" s="51"/>
      <c r="K115" s="52"/>
      <c r="L115" s="50"/>
    </row>
    <row r="116" spans="1:12" x14ac:dyDescent="0.25">
      <c r="A116" s="46"/>
      <c r="B116" s="48"/>
      <c r="C116" s="46"/>
      <c r="D116" s="49"/>
      <c r="E116" s="45"/>
      <c r="F116">
        <v>128</v>
      </c>
      <c r="G116" t="s">
        <v>6</v>
      </c>
      <c r="H116" s="4" t="s">
        <v>7</v>
      </c>
      <c r="I116" s="44"/>
      <c r="J116" s="51"/>
      <c r="K116" s="52"/>
      <c r="L116" s="50"/>
    </row>
    <row r="117" spans="1:12" x14ac:dyDescent="0.25">
      <c r="A117" s="46"/>
      <c r="B117" s="48"/>
      <c r="C117" s="46"/>
      <c r="D117" s="49"/>
      <c r="E117" s="45"/>
      <c r="F117">
        <f>128*25</f>
        <v>3200</v>
      </c>
      <c r="G117" t="s">
        <v>166</v>
      </c>
      <c r="H117" s="4" t="s">
        <v>14</v>
      </c>
      <c r="I117" s="44"/>
      <c r="J117" s="51"/>
      <c r="K117" s="52"/>
      <c r="L117" s="50"/>
    </row>
    <row r="118" spans="1:12" x14ac:dyDescent="0.25">
      <c r="A118" s="46"/>
      <c r="B118" s="48"/>
      <c r="C118" s="46"/>
      <c r="D118" s="49"/>
      <c r="E118" s="45"/>
      <c r="F118">
        <f>128*150</f>
        <v>19200</v>
      </c>
      <c r="G118" t="s">
        <v>166</v>
      </c>
      <c r="H118" s="4" t="s">
        <v>359</v>
      </c>
      <c r="I118" s="44"/>
      <c r="J118" s="51"/>
      <c r="K118" s="52"/>
      <c r="L118" s="50"/>
    </row>
    <row r="119" spans="1:12" x14ac:dyDescent="0.25">
      <c r="A119" s="46"/>
      <c r="B119" s="48"/>
      <c r="C119" s="46"/>
      <c r="D119" s="49"/>
      <c r="E119" s="45"/>
      <c r="F119">
        <v>810</v>
      </c>
      <c r="G119" t="s">
        <v>6</v>
      </c>
      <c r="H119" s="4" t="s">
        <v>360</v>
      </c>
      <c r="I119" s="44"/>
      <c r="J119" s="51"/>
      <c r="K119" s="52"/>
      <c r="L119" s="50"/>
    </row>
    <row r="120" spans="1:12" x14ac:dyDescent="0.25">
      <c r="A120" s="46"/>
      <c r="B120" s="48"/>
      <c r="C120" s="46"/>
      <c r="D120" s="49"/>
      <c r="E120" s="45"/>
      <c r="F120">
        <f>810*25</f>
        <v>20250</v>
      </c>
      <c r="G120" t="s">
        <v>166</v>
      </c>
      <c r="H120" s="4" t="s">
        <v>14</v>
      </c>
      <c r="I120" s="44"/>
      <c r="J120" s="51"/>
      <c r="K120" s="52"/>
      <c r="L120" s="50"/>
    </row>
    <row r="121" spans="1:12" x14ac:dyDescent="0.25">
      <c r="A121" s="46"/>
      <c r="B121" s="48"/>
      <c r="C121" s="46"/>
      <c r="D121" s="49"/>
      <c r="E121" s="45"/>
      <c r="F121">
        <f>810*660</f>
        <v>534600</v>
      </c>
      <c r="G121" t="s">
        <v>166</v>
      </c>
      <c r="H121" s="4" t="s">
        <v>359</v>
      </c>
      <c r="I121" s="44"/>
      <c r="J121" s="51"/>
      <c r="K121" s="52"/>
      <c r="L121" s="50"/>
    </row>
    <row r="122" spans="1:12" x14ac:dyDescent="0.25">
      <c r="A122" s="46"/>
      <c r="B122" s="48"/>
      <c r="C122" s="46"/>
      <c r="D122" s="49"/>
      <c r="E122" s="45"/>
      <c r="F122">
        <v>26</v>
      </c>
      <c r="G122" t="s">
        <v>6</v>
      </c>
      <c r="H122" s="4" t="s">
        <v>365</v>
      </c>
      <c r="I122" s="44"/>
      <c r="J122" s="51"/>
      <c r="K122" s="52"/>
      <c r="L122" s="50"/>
    </row>
    <row r="123" spans="1:12" x14ac:dyDescent="0.25">
      <c r="A123" s="46"/>
      <c r="B123" s="48"/>
      <c r="C123" s="46"/>
      <c r="D123" s="49"/>
      <c r="E123" s="45"/>
      <c r="F123">
        <f>26*136</f>
        <v>3536</v>
      </c>
      <c r="G123" t="s">
        <v>166</v>
      </c>
      <c r="H123" s="4" t="s">
        <v>14</v>
      </c>
      <c r="I123" s="44"/>
      <c r="J123" s="51"/>
      <c r="K123" s="52"/>
      <c r="L123" s="50"/>
    </row>
    <row r="124" spans="1:12" x14ac:dyDescent="0.25">
      <c r="A124" s="46"/>
      <c r="B124" s="48"/>
      <c r="C124" s="46"/>
      <c r="D124" s="49"/>
      <c r="E124" s="45"/>
      <c r="F124">
        <v>4.9000000000000004</v>
      </c>
      <c r="G124" t="s">
        <v>294</v>
      </c>
      <c r="H124" s="4" t="s">
        <v>361</v>
      </c>
      <c r="I124" s="44"/>
      <c r="J124" s="51"/>
      <c r="K124" s="52"/>
      <c r="L124" s="50"/>
    </row>
    <row r="125" spans="1:12" x14ac:dyDescent="0.25">
      <c r="A125" s="46"/>
      <c r="B125" s="48"/>
      <c r="C125" s="46"/>
      <c r="D125" s="49"/>
      <c r="E125" s="45"/>
      <c r="F125">
        <v>0.12</v>
      </c>
      <c r="G125" t="s">
        <v>296</v>
      </c>
      <c r="H125" s="4" t="s">
        <v>302</v>
      </c>
      <c r="I125" s="44"/>
      <c r="J125" s="51"/>
      <c r="K125" s="52"/>
      <c r="L125" s="50"/>
    </row>
    <row r="126" spans="1:12" x14ac:dyDescent="0.25">
      <c r="A126" s="46"/>
      <c r="B126" s="48"/>
      <c r="C126" s="46"/>
      <c r="D126" s="49"/>
      <c r="E126" s="45"/>
      <c r="F126">
        <v>8.81</v>
      </c>
      <c r="G126" t="s">
        <v>10</v>
      </c>
      <c r="H126" s="4" t="s">
        <v>297</v>
      </c>
      <c r="I126" s="44"/>
      <c r="J126" s="51"/>
      <c r="K126" s="52"/>
      <c r="L126" s="50"/>
    </row>
    <row r="127" spans="1:12" x14ac:dyDescent="0.25">
      <c r="A127" s="46"/>
      <c r="B127" s="48"/>
      <c r="C127" s="46"/>
      <c r="D127" s="49"/>
      <c r="E127" s="45"/>
      <c r="F127">
        <v>9.6389999999999993</v>
      </c>
      <c r="G127" t="s">
        <v>377</v>
      </c>
      <c r="H127" s="4" t="s">
        <v>374</v>
      </c>
      <c r="I127" s="44"/>
      <c r="J127" s="51"/>
      <c r="K127" s="52"/>
      <c r="L127" s="50"/>
    </row>
    <row r="128" spans="1:12" x14ac:dyDescent="0.25">
      <c r="A128" s="46"/>
      <c r="B128" s="48"/>
      <c r="C128" s="46"/>
      <c r="D128" s="49"/>
      <c r="E128" s="45"/>
      <c r="F128">
        <v>7.2930000000000001</v>
      </c>
      <c r="G128" t="s">
        <v>377</v>
      </c>
      <c r="H128" s="4" t="s">
        <v>375</v>
      </c>
      <c r="I128" s="44"/>
      <c r="J128" s="51"/>
      <c r="K128" s="52"/>
      <c r="L128" s="50"/>
    </row>
    <row r="129" spans="1:12" x14ac:dyDescent="0.25">
      <c r="A129" s="46"/>
      <c r="B129" s="48"/>
      <c r="C129" s="46"/>
      <c r="D129" s="49"/>
      <c r="E129" s="45"/>
      <c r="F129">
        <v>6.8000000000000005E-2</v>
      </c>
      <c r="G129" t="s">
        <v>377</v>
      </c>
      <c r="H129" s="4" t="s">
        <v>376</v>
      </c>
      <c r="I129" s="44"/>
      <c r="J129" s="51"/>
      <c r="K129" s="52"/>
      <c r="L129" s="50"/>
    </row>
    <row r="130" spans="1:12" x14ac:dyDescent="0.25">
      <c r="A130" s="46" t="s">
        <v>373</v>
      </c>
      <c r="B130" s="48" t="s">
        <v>25</v>
      </c>
      <c r="C130" s="46" t="s">
        <v>371</v>
      </c>
      <c r="D130" s="49">
        <v>1</v>
      </c>
      <c r="E130" s="45" t="s">
        <v>27</v>
      </c>
      <c r="F130">
        <v>153</v>
      </c>
      <c r="G130" t="s">
        <v>6</v>
      </c>
      <c r="H130" s="4" t="s">
        <v>54</v>
      </c>
      <c r="I130" s="44">
        <v>1</v>
      </c>
      <c r="J130" s="51" t="s">
        <v>27</v>
      </c>
      <c r="K130" s="52" t="s">
        <v>370</v>
      </c>
      <c r="L130" s="50" t="s">
        <v>372</v>
      </c>
    </row>
    <row r="131" spans="1:12" x14ac:dyDescent="0.25">
      <c r="A131" s="46"/>
      <c r="B131" s="48"/>
      <c r="C131" s="46"/>
      <c r="D131" s="49"/>
      <c r="E131" s="45"/>
      <c r="F131">
        <f>153*250</f>
        <v>38250</v>
      </c>
      <c r="G131" t="s">
        <v>166</v>
      </c>
      <c r="H131" s="4" t="s">
        <v>14</v>
      </c>
      <c r="I131" s="44"/>
      <c r="J131" s="51"/>
      <c r="K131" s="52"/>
      <c r="L131" s="50"/>
    </row>
    <row r="132" spans="1:12" x14ac:dyDescent="0.25">
      <c r="A132" s="46"/>
      <c r="B132" s="48"/>
      <c r="C132" s="46"/>
      <c r="D132" s="49"/>
      <c r="E132" s="45"/>
      <c r="F132">
        <f>37</f>
        <v>37</v>
      </c>
      <c r="G132" t="s">
        <v>6</v>
      </c>
      <c r="H132" s="4" t="s">
        <v>300</v>
      </c>
      <c r="I132" s="44"/>
      <c r="J132" s="51"/>
      <c r="K132" s="52"/>
      <c r="L132" s="50"/>
    </row>
    <row r="133" spans="1:12" x14ac:dyDescent="0.25">
      <c r="A133" s="46"/>
      <c r="B133" s="48"/>
      <c r="C133" s="46"/>
      <c r="D133" s="49"/>
      <c r="E133" s="45"/>
      <c r="F133">
        <f>37*25</f>
        <v>925</v>
      </c>
      <c r="G133" t="s">
        <v>166</v>
      </c>
      <c r="H133" s="4" t="s">
        <v>14</v>
      </c>
      <c r="I133" s="44"/>
      <c r="J133" s="51"/>
      <c r="K133" s="52"/>
      <c r="L133" s="50"/>
    </row>
    <row r="134" spans="1:12" x14ac:dyDescent="0.25">
      <c r="A134" s="46"/>
      <c r="B134" s="48"/>
      <c r="C134" s="46"/>
      <c r="D134" s="49"/>
      <c r="E134" s="45"/>
      <c r="F134">
        <f>37*150</f>
        <v>5550</v>
      </c>
      <c r="G134" t="s">
        <v>166</v>
      </c>
      <c r="H134" s="4" t="s">
        <v>359</v>
      </c>
      <c r="I134" s="44"/>
      <c r="J134" s="51"/>
      <c r="K134" s="52"/>
      <c r="L134" s="50"/>
    </row>
    <row r="135" spans="1:12" x14ac:dyDescent="0.25">
      <c r="A135" s="46"/>
      <c r="B135" s="48"/>
      <c r="C135" s="46"/>
      <c r="D135" s="49"/>
      <c r="E135" s="45"/>
      <c r="F135">
        <v>673</v>
      </c>
      <c r="G135" t="s">
        <v>6</v>
      </c>
      <c r="H135" s="4" t="s">
        <v>7</v>
      </c>
      <c r="I135" s="44"/>
      <c r="J135" s="51"/>
      <c r="K135" s="52"/>
      <c r="L135" s="50"/>
    </row>
    <row r="136" spans="1:12" x14ac:dyDescent="0.25">
      <c r="A136" s="46"/>
      <c r="B136" s="48"/>
      <c r="C136" s="46"/>
      <c r="D136" s="49"/>
      <c r="E136" s="45"/>
      <c r="F136">
        <f>673*25</f>
        <v>16825</v>
      </c>
      <c r="G136" t="s">
        <v>166</v>
      </c>
      <c r="H136" s="4" t="s">
        <v>14</v>
      </c>
      <c r="I136" s="44"/>
      <c r="J136" s="51"/>
      <c r="K136" s="52"/>
      <c r="L136" s="50"/>
    </row>
    <row r="137" spans="1:12" x14ac:dyDescent="0.25">
      <c r="A137" s="46"/>
      <c r="B137" s="48"/>
      <c r="C137" s="46"/>
      <c r="D137" s="49"/>
      <c r="E137" s="45"/>
      <c r="F137">
        <f>673*150</f>
        <v>100950</v>
      </c>
      <c r="G137" t="s">
        <v>166</v>
      </c>
      <c r="H137" s="4" t="s">
        <v>359</v>
      </c>
      <c r="I137" s="44"/>
      <c r="J137" s="51"/>
      <c r="K137" s="52"/>
      <c r="L137" s="50"/>
    </row>
    <row r="138" spans="1:12" x14ac:dyDescent="0.25">
      <c r="A138" s="46"/>
      <c r="B138" s="48"/>
      <c r="C138" s="46"/>
      <c r="D138" s="49"/>
      <c r="E138" s="45"/>
      <c r="F138">
        <v>137</v>
      </c>
      <c r="G138" t="s">
        <v>6</v>
      </c>
      <c r="H138" s="4" t="s">
        <v>365</v>
      </c>
      <c r="I138" s="44"/>
      <c r="J138" s="51"/>
      <c r="K138" s="52"/>
      <c r="L138" s="50"/>
    </row>
    <row r="139" spans="1:12" x14ac:dyDescent="0.25">
      <c r="A139" s="46"/>
      <c r="B139" s="48"/>
      <c r="C139" s="46"/>
      <c r="D139" s="49"/>
      <c r="E139" s="45"/>
      <c r="F139">
        <f>137*136</f>
        <v>18632</v>
      </c>
      <c r="G139" t="s">
        <v>166</v>
      </c>
      <c r="H139" s="4" t="s">
        <v>14</v>
      </c>
      <c r="I139" s="44"/>
      <c r="J139" s="51"/>
      <c r="K139" s="52"/>
      <c r="L139" s="50"/>
    </row>
    <row r="140" spans="1:12" x14ac:dyDescent="0.25">
      <c r="A140" s="46"/>
      <c r="B140" s="48"/>
      <c r="C140" s="46"/>
      <c r="D140" s="49"/>
      <c r="E140" s="45"/>
      <c r="F140">
        <v>12.02</v>
      </c>
      <c r="G140" t="s">
        <v>294</v>
      </c>
      <c r="H140" s="4" t="s">
        <v>361</v>
      </c>
      <c r="I140" s="44"/>
      <c r="J140" s="51"/>
      <c r="K140" s="52"/>
      <c r="L140" s="50"/>
    </row>
    <row r="141" spans="1:12" x14ac:dyDescent="0.25">
      <c r="A141" s="46"/>
      <c r="B141" s="48"/>
      <c r="C141" s="46"/>
      <c r="D141" s="49"/>
      <c r="E141" s="45"/>
      <c r="F141">
        <v>0.12</v>
      </c>
      <c r="G141" t="s">
        <v>296</v>
      </c>
      <c r="H141" s="4" t="s">
        <v>302</v>
      </c>
      <c r="I141" s="44"/>
      <c r="J141" s="51"/>
      <c r="K141" s="52"/>
      <c r="L141" s="50"/>
    </row>
    <row r="142" spans="1:12" x14ac:dyDescent="0.25">
      <c r="A142" s="46"/>
      <c r="B142" s="48"/>
      <c r="C142" s="46"/>
      <c r="D142" s="49"/>
      <c r="E142" s="45"/>
      <c r="F142">
        <v>7.88</v>
      </c>
      <c r="G142" t="s">
        <v>10</v>
      </c>
      <c r="H142" s="4" t="s">
        <v>297</v>
      </c>
      <c r="I142" s="44"/>
      <c r="J142" s="51"/>
      <c r="K142" s="52"/>
      <c r="L142" s="50"/>
    </row>
    <row r="143" spans="1:12" x14ac:dyDescent="0.25">
      <c r="A143" s="46"/>
      <c r="B143" s="48"/>
      <c r="C143" s="46"/>
      <c r="D143" s="49"/>
      <c r="E143" s="45"/>
      <c r="F143">
        <v>9.6389999999999993</v>
      </c>
      <c r="G143" t="s">
        <v>377</v>
      </c>
      <c r="H143" s="4" t="s">
        <v>374</v>
      </c>
      <c r="I143" s="44"/>
      <c r="J143" s="51"/>
      <c r="K143" s="52"/>
      <c r="L143" s="50"/>
    </row>
    <row r="144" spans="1:12" x14ac:dyDescent="0.25">
      <c r="A144" s="46"/>
      <c r="B144" s="48"/>
      <c r="C144" s="46"/>
      <c r="D144" s="49"/>
      <c r="E144" s="45"/>
      <c r="F144">
        <v>7.2930000000000001</v>
      </c>
      <c r="G144" t="s">
        <v>377</v>
      </c>
      <c r="H144" s="4" t="s">
        <v>375</v>
      </c>
      <c r="I144" s="44"/>
      <c r="J144" s="51"/>
      <c r="K144" s="52"/>
      <c r="L144" s="50"/>
    </row>
    <row r="145" spans="1:12" x14ac:dyDescent="0.25">
      <c r="A145" s="46"/>
      <c r="B145" s="48"/>
      <c r="C145" s="46"/>
      <c r="D145" s="49"/>
      <c r="E145" s="45"/>
      <c r="F145">
        <v>6.8000000000000005E-2</v>
      </c>
      <c r="G145" t="s">
        <v>377</v>
      </c>
      <c r="H145" s="4" t="s">
        <v>376</v>
      </c>
      <c r="I145" s="44"/>
      <c r="J145" s="51"/>
      <c r="K145" s="52"/>
      <c r="L145" s="50"/>
    </row>
    <row r="146" spans="1:12" ht="15" customHeight="1" x14ac:dyDescent="0.25">
      <c r="A146" s="46" t="s">
        <v>378</v>
      </c>
      <c r="B146" s="48" t="s">
        <v>25</v>
      </c>
      <c r="C146" s="46" t="s">
        <v>387</v>
      </c>
      <c r="D146" s="49">
        <v>1</v>
      </c>
      <c r="E146" s="45" t="s">
        <v>27</v>
      </c>
      <c r="F146">
        <v>3</v>
      </c>
      <c r="G146" t="s">
        <v>6</v>
      </c>
      <c r="H146" s="4" t="s">
        <v>388</v>
      </c>
      <c r="I146">
        <f>0.725*1000</f>
        <v>725</v>
      </c>
      <c r="J146" t="s">
        <v>6</v>
      </c>
      <c r="K146" s="4" t="s">
        <v>300</v>
      </c>
      <c r="L146" s="50" t="s">
        <v>386</v>
      </c>
    </row>
    <row r="147" spans="1:12" x14ac:dyDescent="0.25">
      <c r="A147" s="46"/>
      <c r="B147" s="48"/>
      <c r="C147" s="46"/>
      <c r="D147" s="49"/>
      <c r="E147" s="45"/>
      <c r="F147">
        <f>3*177</f>
        <v>531</v>
      </c>
      <c r="G147" t="s">
        <v>166</v>
      </c>
      <c r="H147" s="4" t="s">
        <v>14</v>
      </c>
      <c r="I147">
        <f>0.0725*1000</f>
        <v>72.5</v>
      </c>
      <c r="J147" t="s">
        <v>6</v>
      </c>
      <c r="K147" s="4" t="s">
        <v>7</v>
      </c>
      <c r="L147" s="50"/>
    </row>
    <row r="148" spans="1:12" x14ac:dyDescent="0.25">
      <c r="A148" s="46"/>
      <c r="B148" s="48"/>
      <c r="C148" s="46"/>
      <c r="D148" s="49"/>
      <c r="E148" s="45"/>
      <c r="F148">
        <v>68</v>
      </c>
      <c r="G148" t="s">
        <v>6</v>
      </c>
      <c r="H148" s="4" t="s">
        <v>54</v>
      </c>
      <c r="I148">
        <f>0.0725*1000</f>
        <v>72.5</v>
      </c>
      <c r="J148" t="s">
        <v>6</v>
      </c>
      <c r="K148" s="4" t="s">
        <v>379</v>
      </c>
      <c r="L148" s="50"/>
    </row>
    <row r="149" spans="1:12" x14ac:dyDescent="0.25">
      <c r="A149" s="46"/>
      <c r="B149" s="48"/>
      <c r="C149" s="46"/>
      <c r="D149" s="49"/>
      <c r="E149" s="45"/>
      <c r="F149">
        <f>68*250</f>
        <v>17000</v>
      </c>
      <c r="G149" t="s">
        <v>166</v>
      </c>
      <c r="H149" s="4" t="s">
        <v>14</v>
      </c>
      <c r="I149">
        <f>0.065*1000</f>
        <v>65</v>
      </c>
      <c r="J149" t="s">
        <v>6</v>
      </c>
      <c r="K149" s="4" t="s">
        <v>365</v>
      </c>
      <c r="L149" s="50"/>
    </row>
    <row r="150" spans="1:12" x14ac:dyDescent="0.25">
      <c r="A150" s="46"/>
      <c r="B150" s="48"/>
      <c r="C150" s="46"/>
      <c r="D150" s="49"/>
      <c r="E150" s="45"/>
      <c r="F150">
        <v>91</v>
      </c>
      <c r="G150" t="s">
        <v>6</v>
      </c>
      <c r="H150" s="4" t="s">
        <v>300</v>
      </c>
      <c r="I150">
        <f>0.065*1000</f>
        <v>65</v>
      </c>
      <c r="J150" t="s">
        <v>6</v>
      </c>
      <c r="K150" s="4" t="s">
        <v>380</v>
      </c>
      <c r="L150" s="50"/>
    </row>
    <row r="151" spans="1:12" x14ac:dyDescent="0.25">
      <c r="A151" s="46"/>
      <c r="B151" s="48"/>
      <c r="C151" s="46"/>
      <c r="D151" s="49"/>
      <c r="E151" s="45"/>
      <c r="F151">
        <f>91*25</f>
        <v>2275</v>
      </c>
      <c r="G151" t="s">
        <v>166</v>
      </c>
      <c r="H151" s="4" t="s">
        <v>14</v>
      </c>
      <c r="I151">
        <f>0.007*1000</f>
        <v>7</v>
      </c>
      <c r="J151" t="s">
        <v>15</v>
      </c>
      <c r="K151" s="4" t="s">
        <v>290</v>
      </c>
      <c r="L151" s="50"/>
    </row>
    <row r="152" spans="1:12" x14ac:dyDescent="0.25">
      <c r="A152" s="46"/>
      <c r="B152" s="48"/>
      <c r="C152" s="46"/>
      <c r="D152" s="49"/>
      <c r="E152" s="45"/>
      <c r="F152">
        <f>91*150</f>
        <v>13650</v>
      </c>
      <c r="G152" t="s">
        <v>166</v>
      </c>
      <c r="H152" s="4" t="s">
        <v>359</v>
      </c>
      <c r="I152">
        <f>0.016*1000</f>
        <v>16</v>
      </c>
      <c r="J152" t="s">
        <v>15</v>
      </c>
      <c r="K152" s="4" t="s">
        <v>23</v>
      </c>
      <c r="L152" s="50"/>
    </row>
    <row r="153" spans="1:12" x14ac:dyDescent="0.25">
      <c r="A153" s="46"/>
      <c r="B153" s="48"/>
      <c r="C153" s="46"/>
      <c r="D153" s="49"/>
      <c r="E153" s="45"/>
      <c r="F153">
        <v>73</v>
      </c>
      <c r="G153" t="s">
        <v>6</v>
      </c>
      <c r="H153" s="4" t="s">
        <v>7</v>
      </c>
      <c r="I153">
        <f>0.276*1000</f>
        <v>276</v>
      </c>
      <c r="J153" t="s">
        <v>56</v>
      </c>
      <c r="K153" s="4" t="s">
        <v>381</v>
      </c>
      <c r="L153" s="50"/>
    </row>
    <row r="154" spans="1:12" x14ac:dyDescent="0.25">
      <c r="A154" s="46"/>
      <c r="B154" s="48"/>
      <c r="C154" s="46"/>
      <c r="D154" s="49"/>
      <c r="E154" s="45"/>
      <c r="F154">
        <f>73*25</f>
        <v>1825</v>
      </c>
      <c r="G154" t="s">
        <v>166</v>
      </c>
      <c r="H154" s="4" t="s">
        <v>14</v>
      </c>
      <c r="I154">
        <f>0.017*1000</f>
        <v>17</v>
      </c>
      <c r="J154" t="s">
        <v>56</v>
      </c>
      <c r="K154" s="4" t="s">
        <v>382</v>
      </c>
      <c r="L154" s="50"/>
    </row>
    <row r="155" spans="1:12" x14ac:dyDescent="0.25">
      <c r="A155" s="46"/>
      <c r="B155" s="48"/>
      <c r="C155" s="46"/>
      <c r="D155" s="49"/>
      <c r="E155" s="45"/>
      <c r="F155">
        <f>73*150</f>
        <v>10950</v>
      </c>
      <c r="G155" t="s">
        <v>166</v>
      </c>
      <c r="H155" s="4" t="s">
        <v>359</v>
      </c>
      <c r="I155">
        <f>0.015*1000</f>
        <v>15</v>
      </c>
      <c r="J155" t="s">
        <v>56</v>
      </c>
      <c r="K155" s="4" t="s">
        <v>323</v>
      </c>
      <c r="L155" s="50"/>
    </row>
    <row r="156" spans="1:12" x14ac:dyDescent="0.25">
      <c r="A156" s="46"/>
      <c r="B156" s="48"/>
      <c r="C156" s="46"/>
      <c r="D156" s="49"/>
      <c r="E156" s="45"/>
      <c r="F156">
        <f>676+75</f>
        <v>751</v>
      </c>
      <c r="G156" t="s">
        <v>6</v>
      </c>
      <c r="H156" s="4" t="s">
        <v>360</v>
      </c>
      <c r="I156">
        <f>3.73*1000</f>
        <v>3730</v>
      </c>
      <c r="J156" t="s">
        <v>377</v>
      </c>
      <c r="K156" s="4" t="s">
        <v>383</v>
      </c>
      <c r="L156" s="50"/>
    </row>
    <row r="157" spans="1:12" x14ac:dyDescent="0.25">
      <c r="A157" s="46"/>
      <c r="B157" s="48"/>
      <c r="C157" s="46"/>
      <c r="D157" s="49"/>
      <c r="E157" s="45"/>
      <c r="F157">
        <f>(676+75)*25</f>
        <v>18775</v>
      </c>
      <c r="G157" t="s">
        <v>166</v>
      </c>
      <c r="H157" s="4" t="s">
        <v>14</v>
      </c>
      <c r="I157">
        <f>38.48*1000</f>
        <v>38480</v>
      </c>
      <c r="J157" t="s">
        <v>377</v>
      </c>
      <c r="K157" s="4" t="s">
        <v>384</v>
      </c>
      <c r="L157" s="50"/>
    </row>
    <row r="158" spans="1:12" x14ac:dyDescent="0.25">
      <c r="A158" s="46"/>
      <c r="B158" s="48"/>
      <c r="C158" s="46"/>
      <c r="D158" s="49"/>
      <c r="E158" s="45"/>
      <c r="F158">
        <f>(676+75)*660</f>
        <v>495660</v>
      </c>
      <c r="G158" t="s">
        <v>166</v>
      </c>
      <c r="H158" s="4" t="s">
        <v>359</v>
      </c>
      <c r="I158">
        <f>3.05*1000</f>
        <v>3050</v>
      </c>
      <c r="J158" t="s">
        <v>377</v>
      </c>
      <c r="K158" s="4" t="s">
        <v>385</v>
      </c>
      <c r="L158" s="50"/>
    </row>
    <row r="159" spans="1:12" x14ac:dyDescent="0.25">
      <c r="A159" s="46"/>
      <c r="B159" s="48"/>
      <c r="C159" s="46"/>
      <c r="D159" s="49"/>
      <c r="E159" s="45"/>
      <c r="F159">
        <v>14</v>
      </c>
      <c r="G159" t="s">
        <v>6</v>
      </c>
      <c r="H159" s="4" t="s">
        <v>64</v>
      </c>
      <c r="L159" s="50"/>
    </row>
    <row r="160" spans="1:12" x14ac:dyDescent="0.25">
      <c r="A160" s="46"/>
      <c r="B160" s="48"/>
      <c r="C160" s="46"/>
      <c r="D160" s="49"/>
      <c r="E160" s="45"/>
      <c r="F160">
        <f>14*136</f>
        <v>1904</v>
      </c>
      <c r="G160" t="s">
        <v>166</v>
      </c>
      <c r="H160" s="4" t="s">
        <v>14</v>
      </c>
      <c r="L160" s="50"/>
    </row>
    <row r="161" spans="1:12" x14ac:dyDescent="0.25">
      <c r="A161" s="46"/>
      <c r="B161" s="48"/>
      <c r="C161" s="46"/>
      <c r="D161" s="49"/>
      <c r="E161" s="45"/>
      <c r="F161">
        <v>7.14</v>
      </c>
      <c r="G161" t="s">
        <v>294</v>
      </c>
      <c r="H161" s="4" t="s">
        <v>361</v>
      </c>
      <c r="L161" s="50"/>
    </row>
    <row r="162" spans="1:12" x14ac:dyDescent="0.25">
      <c r="A162" s="46"/>
      <c r="B162" s="48"/>
      <c r="C162" s="46"/>
      <c r="D162" s="49"/>
      <c r="E162" s="45"/>
      <c r="F162">
        <v>0.12</v>
      </c>
      <c r="G162" t="s">
        <v>296</v>
      </c>
      <c r="H162" s="4" t="s">
        <v>302</v>
      </c>
      <c r="L162" s="50"/>
    </row>
    <row r="163" spans="1:12" x14ac:dyDescent="0.25">
      <c r="A163" s="46"/>
      <c r="B163" s="48"/>
      <c r="C163" s="46"/>
      <c r="D163" s="49"/>
      <c r="E163" s="45"/>
      <c r="F163">
        <v>8.02</v>
      </c>
      <c r="G163" t="s">
        <v>10</v>
      </c>
      <c r="H163" s="4" t="s">
        <v>297</v>
      </c>
      <c r="L163" s="50"/>
    </row>
    <row r="164" spans="1:12" x14ac:dyDescent="0.25">
      <c r="A164" s="46"/>
      <c r="B164" s="48"/>
      <c r="C164" s="46"/>
      <c r="D164" s="49"/>
      <c r="E164" s="45"/>
      <c r="F164">
        <v>9.6389999999999993</v>
      </c>
      <c r="G164" t="s">
        <v>377</v>
      </c>
      <c r="H164" s="4" t="s">
        <v>374</v>
      </c>
      <c r="L164" s="50"/>
    </row>
    <row r="165" spans="1:12" x14ac:dyDescent="0.25">
      <c r="A165" s="46"/>
      <c r="B165" s="48"/>
      <c r="C165" s="46"/>
      <c r="D165" s="49"/>
      <c r="E165" s="45"/>
      <c r="F165">
        <v>7.2930000000000001</v>
      </c>
      <c r="G165" t="s">
        <v>377</v>
      </c>
      <c r="H165" s="4" t="s">
        <v>375</v>
      </c>
      <c r="L165" s="50"/>
    </row>
    <row r="166" spans="1:12" x14ac:dyDescent="0.25">
      <c r="A166" s="46"/>
      <c r="B166" s="48"/>
      <c r="C166" s="46"/>
      <c r="D166" s="49"/>
      <c r="E166" s="45"/>
      <c r="F166">
        <v>6.8000000000000005E-2</v>
      </c>
      <c r="G166" t="s">
        <v>377</v>
      </c>
      <c r="H166" s="4" t="s">
        <v>376</v>
      </c>
      <c r="L166" s="50"/>
    </row>
    <row r="167" spans="1:12" ht="15" customHeight="1" x14ac:dyDescent="0.25">
      <c r="A167" s="46" t="s">
        <v>389</v>
      </c>
      <c r="B167" s="48" t="s">
        <v>25</v>
      </c>
      <c r="C167" s="46" t="s">
        <v>387</v>
      </c>
      <c r="D167" s="49">
        <v>1</v>
      </c>
      <c r="E167" s="45" t="s">
        <v>27</v>
      </c>
      <c r="F167">
        <v>45</v>
      </c>
      <c r="G167" t="s">
        <v>6</v>
      </c>
      <c r="H167" s="4" t="s">
        <v>54</v>
      </c>
      <c r="I167">
        <f>0.813*1000</f>
        <v>813</v>
      </c>
      <c r="J167" t="s">
        <v>6</v>
      </c>
      <c r="K167" s="4" t="s">
        <v>300</v>
      </c>
      <c r="L167" s="50" t="s">
        <v>386</v>
      </c>
    </row>
    <row r="168" spans="1:12" x14ac:dyDescent="0.25">
      <c r="A168" s="46"/>
      <c r="B168" s="48"/>
      <c r="C168" s="46"/>
      <c r="D168" s="49"/>
      <c r="E168" s="45"/>
      <c r="F168">
        <f>45*250</f>
        <v>11250</v>
      </c>
      <c r="G168" t="s">
        <v>166</v>
      </c>
      <c r="H168" s="4" t="s">
        <v>14</v>
      </c>
      <c r="I168">
        <f>0.1*1000</f>
        <v>100</v>
      </c>
      <c r="J168" t="s">
        <v>6</v>
      </c>
      <c r="K168" s="4" t="s">
        <v>379</v>
      </c>
      <c r="L168" s="50"/>
    </row>
    <row r="169" spans="1:12" x14ac:dyDescent="0.25">
      <c r="A169" s="46"/>
      <c r="B169" s="48"/>
      <c r="C169" s="46"/>
      <c r="D169" s="49"/>
      <c r="E169" s="45"/>
      <c r="F169">
        <v>860</v>
      </c>
      <c r="G169" t="s">
        <v>6</v>
      </c>
      <c r="H169" s="4" t="s">
        <v>300</v>
      </c>
      <c r="I169">
        <f>0.043*1000</f>
        <v>43</v>
      </c>
      <c r="J169" t="s">
        <v>6</v>
      </c>
      <c r="K169" s="4" t="s">
        <v>391</v>
      </c>
      <c r="L169" s="50"/>
    </row>
    <row r="170" spans="1:12" x14ac:dyDescent="0.25">
      <c r="A170" s="46"/>
      <c r="B170" s="48"/>
      <c r="C170" s="46"/>
      <c r="D170" s="49"/>
      <c r="E170" s="45"/>
      <c r="F170">
        <f>860*25</f>
        <v>21500</v>
      </c>
      <c r="G170" t="s">
        <v>166</v>
      </c>
      <c r="H170" s="4" t="s">
        <v>14</v>
      </c>
      <c r="I170">
        <f>0.043*1000</f>
        <v>43</v>
      </c>
      <c r="J170" t="s">
        <v>6</v>
      </c>
      <c r="K170" s="4" t="s">
        <v>380</v>
      </c>
      <c r="L170" s="50"/>
    </row>
    <row r="171" spans="1:12" x14ac:dyDescent="0.25">
      <c r="A171" s="46"/>
      <c r="B171" s="48"/>
      <c r="C171" s="46"/>
      <c r="D171" s="49"/>
      <c r="E171" s="45"/>
      <c r="F171">
        <f>860*53</f>
        <v>45580</v>
      </c>
      <c r="G171" t="s">
        <v>166</v>
      </c>
      <c r="H171" s="4" t="s">
        <v>359</v>
      </c>
      <c r="I171">
        <f>0.005*1000</f>
        <v>5</v>
      </c>
      <c r="J171" t="s">
        <v>15</v>
      </c>
      <c r="K171" s="4" t="s">
        <v>290</v>
      </c>
      <c r="L171" s="50"/>
    </row>
    <row r="172" spans="1:12" x14ac:dyDescent="0.25">
      <c r="A172" s="46"/>
      <c r="B172" s="48"/>
      <c r="C172" s="46"/>
      <c r="D172" s="49"/>
      <c r="E172" s="45"/>
      <c r="F172">
        <f>860*933</f>
        <v>802380</v>
      </c>
      <c r="G172" t="s">
        <v>166</v>
      </c>
      <c r="H172" s="4" t="s">
        <v>390</v>
      </c>
      <c r="I172">
        <f>0.0115*1000</f>
        <v>11.5</v>
      </c>
      <c r="J172" t="s">
        <v>15</v>
      </c>
      <c r="K172" s="4" t="s">
        <v>23</v>
      </c>
      <c r="L172" s="50"/>
    </row>
    <row r="173" spans="1:12" x14ac:dyDescent="0.25">
      <c r="A173" s="46"/>
      <c r="B173" s="48"/>
      <c r="C173" s="46"/>
      <c r="D173" s="49"/>
      <c r="E173" s="45"/>
      <c r="F173">
        <f>43</f>
        <v>43</v>
      </c>
      <c r="G173" t="s">
        <v>6</v>
      </c>
      <c r="H173" s="4" t="s">
        <v>360</v>
      </c>
      <c r="I173">
        <f>0.265*1000</f>
        <v>265</v>
      </c>
      <c r="J173" t="s">
        <v>56</v>
      </c>
      <c r="K173" s="4" t="s">
        <v>381</v>
      </c>
      <c r="L173" s="50"/>
    </row>
    <row r="174" spans="1:12" x14ac:dyDescent="0.25">
      <c r="A174" s="46"/>
      <c r="B174" s="48"/>
      <c r="C174" s="46"/>
      <c r="D174" s="49"/>
      <c r="E174" s="45"/>
      <c r="F174">
        <f>43*25</f>
        <v>1075</v>
      </c>
      <c r="G174" t="s">
        <v>166</v>
      </c>
      <c r="H174" s="4" t="s">
        <v>14</v>
      </c>
      <c r="I174">
        <f>0.015*1000</f>
        <v>15</v>
      </c>
      <c r="J174" t="s">
        <v>56</v>
      </c>
      <c r="K174" s="4" t="s">
        <v>382</v>
      </c>
      <c r="L174" s="50"/>
    </row>
    <row r="175" spans="1:12" x14ac:dyDescent="0.25">
      <c r="A175" s="46"/>
      <c r="B175" s="48"/>
      <c r="C175" s="46"/>
      <c r="D175" s="49"/>
      <c r="E175" s="45"/>
      <c r="F175">
        <f>43*660</f>
        <v>28380</v>
      </c>
      <c r="G175" t="s">
        <v>166</v>
      </c>
      <c r="H175" s="4" t="s">
        <v>359</v>
      </c>
      <c r="I175">
        <f>0.014*1000</f>
        <v>14</v>
      </c>
      <c r="J175" t="s">
        <v>56</v>
      </c>
      <c r="K175" s="4" t="s">
        <v>323</v>
      </c>
      <c r="L175" s="50"/>
    </row>
    <row r="176" spans="1:12" x14ac:dyDescent="0.25">
      <c r="A176" s="46"/>
      <c r="B176" s="48"/>
      <c r="C176" s="46"/>
      <c r="D176" s="49"/>
      <c r="E176" s="45"/>
      <c r="F176">
        <v>52</v>
      </c>
      <c r="G176" t="s">
        <v>6</v>
      </c>
      <c r="H176" s="4" t="s">
        <v>314</v>
      </c>
      <c r="L176" s="50"/>
    </row>
    <row r="177" spans="1:12" x14ac:dyDescent="0.25">
      <c r="A177" s="46"/>
      <c r="B177" s="48"/>
      <c r="C177" s="46"/>
      <c r="D177" s="49"/>
      <c r="E177" s="45"/>
      <c r="F177">
        <f>52*136</f>
        <v>7072</v>
      </c>
      <c r="G177" t="s">
        <v>166</v>
      </c>
      <c r="H177" s="4" t="s">
        <v>14</v>
      </c>
      <c r="L177" s="50"/>
    </row>
    <row r="178" spans="1:12" x14ac:dyDescent="0.25">
      <c r="A178" s="46"/>
      <c r="B178" s="48"/>
      <c r="C178" s="46"/>
      <c r="D178" s="49"/>
      <c r="E178" s="45"/>
      <c r="F178">
        <v>5.82</v>
      </c>
      <c r="G178" t="s">
        <v>294</v>
      </c>
      <c r="H178" s="4" t="s">
        <v>361</v>
      </c>
      <c r="L178" s="50"/>
    </row>
    <row r="179" spans="1:12" x14ac:dyDescent="0.25">
      <c r="A179" s="46"/>
      <c r="B179" s="48"/>
      <c r="C179" s="46"/>
      <c r="D179" s="49"/>
      <c r="E179" s="45"/>
      <c r="F179">
        <v>0.12</v>
      </c>
      <c r="G179" t="s">
        <v>296</v>
      </c>
      <c r="H179" s="4" t="s">
        <v>302</v>
      </c>
      <c r="L179" s="50"/>
    </row>
    <row r="180" spans="1:12" x14ac:dyDescent="0.25">
      <c r="A180" s="46"/>
      <c r="B180" s="48"/>
      <c r="C180" s="46"/>
      <c r="D180" s="49"/>
      <c r="E180" s="45"/>
      <c r="F180">
        <v>7.48</v>
      </c>
      <c r="G180" t="s">
        <v>10</v>
      </c>
      <c r="H180" s="4" t="s">
        <v>297</v>
      </c>
      <c r="L180" s="50"/>
    </row>
    <row r="181" spans="1:12" x14ac:dyDescent="0.25">
      <c r="A181" s="46"/>
      <c r="B181" s="48"/>
      <c r="C181" s="46"/>
      <c r="D181" s="49"/>
      <c r="E181" s="45"/>
      <c r="F181">
        <v>9.6389999999999993</v>
      </c>
      <c r="G181" t="s">
        <v>377</v>
      </c>
      <c r="H181" s="4" t="s">
        <v>374</v>
      </c>
      <c r="L181" s="50"/>
    </row>
    <row r="182" spans="1:12" x14ac:dyDescent="0.25">
      <c r="A182" s="46"/>
      <c r="B182" s="48"/>
      <c r="C182" s="46"/>
      <c r="D182" s="49"/>
      <c r="E182" s="45"/>
      <c r="F182">
        <v>7.2930000000000001</v>
      </c>
      <c r="G182" t="s">
        <v>377</v>
      </c>
      <c r="H182" s="4" t="s">
        <v>375</v>
      </c>
      <c r="L182" s="50"/>
    </row>
    <row r="183" spans="1:12" x14ac:dyDescent="0.25">
      <c r="A183" s="46"/>
      <c r="B183" s="48"/>
      <c r="C183" s="46"/>
      <c r="D183" s="49"/>
      <c r="E183" s="45"/>
      <c r="F183">
        <v>6.8000000000000005E-2</v>
      </c>
      <c r="G183" t="s">
        <v>377</v>
      </c>
      <c r="H183" s="4" t="s">
        <v>376</v>
      </c>
      <c r="L183" s="50"/>
    </row>
    <row r="184" spans="1:12" ht="30" x14ac:dyDescent="0.25">
      <c r="A184" s="4" t="s">
        <v>21</v>
      </c>
      <c r="B184" s="25" t="s">
        <v>25</v>
      </c>
      <c r="C184" s="6" t="s">
        <v>392</v>
      </c>
      <c r="D184" s="37">
        <v>1</v>
      </c>
      <c r="E184" s="4" t="s">
        <v>6</v>
      </c>
      <c r="F184">
        <v>3.7600000000000001E-2</v>
      </c>
      <c r="G184" t="s">
        <v>294</v>
      </c>
      <c r="H184" s="4" t="s">
        <v>393</v>
      </c>
      <c r="I184">
        <v>3.7600000000000001E-2</v>
      </c>
      <c r="J184" t="s">
        <v>294</v>
      </c>
      <c r="K184" s="4" t="s">
        <v>394</v>
      </c>
      <c r="L184" s="15" t="s">
        <v>400</v>
      </c>
    </row>
    <row r="185" spans="1:12" ht="30" x14ac:dyDescent="0.25">
      <c r="A185" s="4" t="s">
        <v>26</v>
      </c>
      <c r="B185" s="25" t="s">
        <v>25</v>
      </c>
      <c r="C185" s="6" t="s">
        <v>392</v>
      </c>
      <c r="D185" s="37">
        <v>1</v>
      </c>
      <c r="E185" s="4" t="s">
        <v>6</v>
      </c>
      <c r="F185">
        <v>4.9700000000000001E-2</v>
      </c>
      <c r="G185" t="s">
        <v>294</v>
      </c>
      <c r="H185" s="4" t="s">
        <v>393</v>
      </c>
      <c r="I185">
        <v>4.9700000000000001E-2</v>
      </c>
      <c r="J185" t="s">
        <v>294</v>
      </c>
      <c r="K185" s="4" t="s">
        <v>394</v>
      </c>
      <c r="L185" s="15" t="s">
        <v>400</v>
      </c>
    </row>
    <row r="186" spans="1:12" ht="30" x14ac:dyDescent="0.25">
      <c r="A186" s="4" t="s">
        <v>22</v>
      </c>
      <c r="B186" s="25" t="s">
        <v>25</v>
      </c>
      <c r="C186" s="6" t="s">
        <v>392</v>
      </c>
      <c r="D186" s="37">
        <v>1</v>
      </c>
      <c r="E186" s="4" t="s">
        <v>6</v>
      </c>
      <c r="F186">
        <v>5.4899999999999997E-2</v>
      </c>
      <c r="G186" t="s">
        <v>294</v>
      </c>
      <c r="H186" s="4" t="s">
        <v>393</v>
      </c>
      <c r="I186">
        <v>5.4899999999999997E-2</v>
      </c>
      <c r="J186" t="s">
        <v>294</v>
      </c>
      <c r="K186" s="4" t="s">
        <v>394</v>
      </c>
      <c r="L186" s="15" t="s">
        <v>400</v>
      </c>
    </row>
    <row r="187" spans="1:12" ht="30" x14ac:dyDescent="0.25">
      <c r="A187" s="4" t="s">
        <v>395</v>
      </c>
      <c r="B187" s="25" t="s">
        <v>25</v>
      </c>
      <c r="C187" s="6" t="s">
        <v>392</v>
      </c>
      <c r="D187" s="37">
        <v>1</v>
      </c>
      <c r="E187" s="4" t="s">
        <v>6</v>
      </c>
      <c r="F187">
        <v>5.8299999999999998E-2</v>
      </c>
      <c r="G187" t="s">
        <v>294</v>
      </c>
      <c r="H187" s="4" t="s">
        <v>393</v>
      </c>
      <c r="I187">
        <v>5.8299999999999998E-2</v>
      </c>
      <c r="J187" t="s">
        <v>294</v>
      </c>
      <c r="K187" s="4" t="s">
        <v>394</v>
      </c>
      <c r="L187" s="15" t="s">
        <v>400</v>
      </c>
    </row>
    <row r="188" spans="1:12" ht="30" x14ac:dyDescent="0.25">
      <c r="A188" s="4" t="s">
        <v>396</v>
      </c>
      <c r="B188" s="25" t="s">
        <v>25</v>
      </c>
      <c r="C188" s="6" t="s">
        <v>405</v>
      </c>
      <c r="D188" s="37">
        <v>1</v>
      </c>
      <c r="E188" s="4" t="s">
        <v>6</v>
      </c>
      <c r="F188">
        <v>1</v>
      </c>
      <c r="G188" t="s">
        <v>6</v>
      </c>
      <c r="H188" s="4" t="s">
        <v>397</v>
      </c>
      <c r="I188">
        <v>1</v>
      </c>
      <c r="J188" t="s">
        <v>6</v>
      </c>
      <c r="K188" s="4" t="s">
        <v>398</v>
      </c>
      <c r="L188" s="15" t="s">
        <v>406</v>
      </c>
    </row>
    <row r="189" spans="1:12" ht="30" x14ac:dyDescent="0.25">
      <c r="A189" s="4" t="s">
        <v>402</v>
      </c>
      <c r="B189" s="25" t="s">
        <v>25</v>
      </c>
      <c r="C189" s="6" t="s">
        <v>405</v>
      </c>
      <c r="D189" s="37">
        <v>1</v>
      </c>
      <c r="E189" s="4" t="s">
        <v>6</v>
      </c>
      <c r="F189">
        <v>1</v>
      </c>
      <c r="G189" t="s">
        <v>6</v>
      </c>
      <c r="H189" s="4" t="s">
        <v>403</v>
      </c>
      <c r="I189">
        <v>1</v>
      </c>
      <c r="J189" t="s">
        <v>6</v>
      </c>
      <c r="K189" s="4" t="s">
        <v>401</v>
      </c>
      <c r="L189" s="15" t="s">
        <v>406</v>
      </c>
    </row>
    <row r="190" spans="1:12" ht="30" x14ac:dyDescent="0.25">
      <c r="A190" s="4" t="s">
        <v>404</v>
      </c>
      <c r="B190" s="25" t="s">
        <v>25</v>
      </c>
      <c r="C190" s="6" t="s">
        <v>392</v>
      </c>
      <c r="D190" s="37">
        <v>1</v>
      </c>
      <c r="E190" s="4" t="s">
        <v>6</v>
      </c>
      <c r="F190">
        <v>1</v>
      </c>
      <c r="G190" t="s">
        <v>6</v>
      </c>
      <c r="H190" s="4" t="s">
        <v>408</v>
      </c>
      <c r="I190">
        <v>1</v>
      </c>
      <c r="J190" t="s">
        <v>6</v>
      </c>
      <c r="K190" s="4" t="s">
        <v>407</v>
      </c>
      <c r="L190" s="15" t="s">
        <v>399</v>
      </c>
    </row>
    <row r="191" spans="1:12" ht="30" x14ac:dyDescent="0.25">
      <c r="A191" s="4" t="s">
        <v>409</v>
      </c>
      <c r="B191" s="25" t="s">
        <v>25</v>
      </c>
      <c r="C191" s="6" t="s">
        <v>392</v>
      </c>
      <c r="D191" s="37">
        <v>1</v>
      </c>
      <c r="E191" s="4" t="s">
        <v>6</v>
      </c>
      <c r="F191">
        <v>1</v>
      </c>
      <c r="G191" t="s">
        <v>6</v>
      </c>
      <c r="H191" s="4" t="s">
        <v>410</v>
      </c>
      <c r="I191">
        <v>1</v>
      </c>
      <c r="J191" t="s">
        <v>6</v>
      </c>
      <c r="K191" s="4" t="s">
        <v>411</v>
      </c>
      <c r="L191" s="15" t="s">
        <v>399</v>
      </c>
    </row>
    <row r="192" spans="1:12" ht="30" x14ac:dyDescent="0.25">
      <c r="A192" s="4" t="s">
        <v>412</v>
      </c>
      <c r="B192" s="25" t="s">
        <v>25</v>
      </c>
      <c r="C192" s="6" t="s">
        <v>392</v>
      </c>
      <c r="D192" s="37">
        <v>1</v>
      </c>
      <c r="E192" s="4" t="s">
        <v>6</v>
      </c>
      <c r="F192">
        <v>1</v>
      </c>
      <c r="G192" t="s">
        <v>6</v>
      </c>
      <c r="H192" s="4" t="s">
        <v>413</v>
      </c>
      <c r="I192">
        <v>1</v>
      </c>
      <c r="J192" t="s">
        <v>6</v>
      </c>
      <c r="K192" s="4" t="s">
        <v>418</v>
      </c>
      <c r="L192" s="15" t="s">
        <v>399</v>
      </c>
    </row>
    <row r="193" spans="1:12" ht="30" x14ac:dyDescent="0.25">
      <c r="A193" s="4" t="s">
        <v>415</v>
      </c>
      <c r="B193" s="25" t="s">
        <v>25</v>
      </c>
      <c r="C193" s="6" t="s">
        <v>392</v>
      </c>
      <c r="D193" s="37">
        <v>1</v>
      </c>
      <c r="E193" s="4" t="s">
        <v>6</v>
      </c>
      <c r="F193">
        <v>1</v>
      </c>
      <c r="G193" t="s">
        <v>6</v>
      </c>
      <c r="H193" s="4" t="s">
        <v>414</v>
      </c>
      <c r="I193">
        <v>1</v>
      </c>
      <c r="J193" t="s">
        <v>6</v>
      </c>
      <c r="K193" s="4" t="s">
        <v>419</v>
      </c>
      <c r="L193" s="15" t="s">
        <v>399</v>
      </c>
    </row>
    <row r="194" spans="1:12" ht="30" x14ac:dyDescent="0.25">
      <c r="A194" s="4" t="s">
        <v>416</v>
      </c>
      <c r="B194" s="25" t="s">
        <v>25</v>
      </c>
      <c r="C194" s="6" t="s">
        <v>392</v>
      </c>
      <c r="D194" s="37">
        <v>1</v>
      </c>
      <c r="E194" s="4" t="s">
        <v>6</v>
      </c>
      <c r="F194">
        <v>1</v>
      </c>
      <c r="G194" t="s">
        <v>6</v>
      </c>
      <c r="H194" s="4" t="s">
        <v>410</v>
      </c>
      <c r="I194">
        <v>1</v>
      </c>
      <c r="J194" t="s">
        <v>6</v>
      </c>
      <c r="K194" s="4" t="s">
        <v>411</v>
      </c>
      <c r="L194" s="15" t="s">
        <v>399</v>
      </c>
    </row>
    <row r="195" spans="1:12" ht="30" x14ac:dyDescent="0.25">
      <c r="A195" s="4" t="s">
        <v>417</v>
      </c>
      <c r="B195" s="25" t="s">
        <v>25</v>
      </c>
      <c r="C195" s="6" t="s">
        <v>392</v>
      </c>
      <c r="D195" s="37">
        <v>1</v>
      </c>
      <c r="E195" s="4" t="s">
        <v>6</v>
      </c>
      <c r="F195">
        <v>1</v>
      </c>
      <c r="G195" t="s">
        <v>6</v>
      </c>
      <c r="H195" s="4" t="s">
        <v>413</v>
      </c>
      <c r="I195">
        <v>1</v>
      </c>
      <c r="J195" t="s">
        <v>6</v>
      </c>
      <c r="K195" s="4" t="s">
        <v>418</v>
      </c>
      <c r="L195" s="15" t="s">
        <v>399</v>
      </c>
    </row>
    <row r="196" spans="1:12" ht="30" x14ac:dyDescent="0.25">
      <c r="A196" s="4" t="s">
        <v>420</v>
      </c>
      <c r="B196" s="25" t="s">
        <v>25</v>
      </c>
      <c r="C196" s="6" t="s">
        <v>392</v>
      </c>
      <c r="D196" s="37">
        <v>1</v>
      </c>
      <c r="E196" s="4" t="s">
        <v>6</v>
      </c>
      <c r="F196">
        <v>1</v>
      </c>
      <c r="G196" t="s">
        <v>6</v>
      </c>
      <c r="H196" s="4" t="s">
        <v>413</v>
      </c>
      <c r="I196">
        <v>1</v>
      </c>
      <c r="J196" t="s">
        <v>6</v>
      </c>
      <c r="K196" s="4" t="s">
        <v>418</v>
      </c>
      <c r="L196" s="15" t="s">
        <v>399</v>
      </c>
    </row>
    <row r="197" spans="1:12" ht="30" x14ac:dyDescent="0.25">
      <c r="A197" s="4" t="s">
        <v>421</v>
      </c>
      <c r="B197" s="25" t="s">
        <v>25</v>
      </c>
      <c r="C197" s="6" t="s">
        <v>392</v>
      </c>
      <c r="D197" s="37">
        <v>1</v>
      </c>
      <c r="E197" s="4" t="s">
        <v>6</v>
      </c>
      <c r="F197">
        <v>1</v>
      </c>
      <c r="G197" t="s">
        <v>6</v>
      </c>
      <c r="H197" s="4" t="s">
        <v>413</v>
      </c>
      <c r="I197">
        <v>1</v>
      </c>
      <c r="J197" t="s">
        <v>6</v>
      </c>
      <c r="K197" s="4" t="s">
        <v>418</v>
      </c>
      <c r="L197" s="15" t="s">
        <v>399</v>
      </c>
    </row>
    <row r="198" spans="1:12" ht="30" x14ac:dyDescent="0.25">
      <c r="A198" s="4" t="s">
        <v>422</v>
      </c>
      <c r="B198" s="25" t="s">
        <v>25</v>
      </c>
      <c r="C198" s="6" t="s">
        <v>392</v>
      </c>
      <c r="D198" s="37">
        <v>1</v>
      </c>
      <c r="E198" s="4" t="s">
        <v>6</v>
      </c>
      <c r="F198">
        <v>1</v>
      </c>
      <c r="G198" t="s">
        <v>6</v>
      </c>
      <c r="H198" s="4" t="s">
        <v>410</v>
      </c>
      <c r="I198">
        <v>1</v>
      </c>
      <c r="J198" t="s">
        <v>6</v>
      </c>
      <c r="K198" s="4" t="s">
        <v>411</v>
      </c>
      <c r="L198" s="15" t="s">
        <v>399</v>
      </c>
    </row>
    <row r="199" spans="1:12" ht="30" x14ac:dyDescent="0.25">
      <c r="A199" s="4" t="s">
        <v>423</v>
      </c>
      <c r="B199" s="25" t="s">
        <v>25</v>
      </c>
      <c r="C199" s="6" t="s">
        <v>392</v>
      </c>
      <c r="D199" s="37">
        <v>1</v>
      </c>
      <c r="E199" s="4" t="s">
        <v>6</v>
      </c>
      <c r="F199">
        <v>1</v>
      </c>
      <c r="G199" t="s">
        <v>6</v>
      </c>
      <c r="H199" s="4" t="s">
        <v>410</v>
      </c>
      <c r="I199">
        <v>1</v>
      </c>
      <c r="J199" t="s">
        <v>6</v>
      </c>
      <c r="K199" s="4" t="s">
        <v>411</v>
      </c>
      <c r="L199" s="15" t="s">
        <v>399</v>
      </c>
    </row>
    <row r="200" spans="1:12" ht="30" x14ac:dyDescent="0.25">
      <c r="A200" s="4" t="s">
        <v>424</v>
      </c>
      <c r="B200" s="25" t="s">
        <v>25</v>
      </c>
      <c r="C200" s="6" t="s">
        <v>392</v>
      </c>
      <c r="D200" s="37">
        <v>1</v>
      </c>
      <c r="E200" s="4" t="s">
        <v>6</v>
      </c>
      <c r="F200">
        <v>1</v>
      </c>
      <c r="G200" t="s">
        <v>6</v>
      </c>
      <c r="H200" s="4" t="s">
        <v>413</v>
      </c>
      <c r="I200">
        <v>1</v>
      </c>
      <c r="J200" t="s">
        <v>6</v>
      </c>
      <c r="K200" s="4" t="s">
        <v>418</v>
      </c>
      <c r="L200" s="15" t="s">
        <v>399</v>
      </c>
    </row>
    <row r="201" spans="1:12" ht="30" x14ac:dyDescent="0.25">
      <c r="A201" s="4" t="s">
        <v>425</v>
      </c>
      <c r="B201" s="25" t="s">
        <v>25</v>
      </c>
      <c r="C201" s="6" t="s">
        <v>392</v>
      </c>
      <c r="D201" s="37">
        <v>1</v>
      </c>
      <c r="E201" s="4" t="s">
        <v>6</v>
      </c>
      <c r="F201">
        <v>1</v>
      </c>
      <c r="G201" t="s">
        <v>6</v>
      </c>
      <c r="H201" s="4" t="s">
        <v>414</v>
      </c>
      <c r="I201">
        <v>1</v>
      </c>
      <c r="J201" t="s">
        <v>6</v>
      </c>
      <c r="K201" s="4" t="s">
        <v>419</v>
      </c>
      <c r="L201" s="15" t="s">
        <v>399</v>
      </c>
    </row>
    <row r="202" spans="1:12" ht="30" x14ac:dyDescent="0.25">
      <c r="A202" s="4" t="s">
        <v>426</v>
      </c>
      <c r="B202" s="25" t="s">
        <v>25</v>
      </c>
      <c r="C202" s="6" t="s">
        <v>392</v>
      </c>
      <c r="D202" s="37">
        <v>1</v>
      </c>
      <c r="E202" s="4" t="s">
        <v>6</v>
      </c>
      <c r="F202">
        <v>1</v>
      </c>
      <c r="G202" t="s">
        <v>6</v>
      </c>
      <c r="H202" s="4" t="s">
        <v>413</v>
      </c>
      <c r="I202">
        <v>1</v>
      </c>
      <c r="J202" t="s">
        <v>6</v>
      </c>
      <c r="K202" s="4" t="s">
        <v>418</v>
      </c>
      <c r="L202" s="15" t="s">
        <v>399</v>
      </c>
    </row>
    <row r="203" spans="1:12" ht="30" x14ac:dyDescent="0.25">
      <c r="A203" s="4" t="s">
        <v>427</v>
      </c>
      <c r="B203" s="25" t="s">
        <v>25</v>
      </c>
      <c r="C203" s="6" t="s">
        <v>392</v>
      </c>
      <c r="D203" s="37">
        <v>1</v>
      </c>
      <c r="E203" s="4" t="s">
        <v>6</v>
      </c>
      <c r="F203">
        <v>1</v>
      </c>
      <c r="G203" t="s">
        <v>6</v>
      </c>
      <c r="H203" s="4" t="s">
        <v>414</v>
      </c>
      <c r="I203">
        <v>1</v>
      </c>
      <c r="J203" t="s">
        <v>6</v>
      </c>
      <c r="K203" s="4" t="s">
        <v>419</v>
      </c>
      <c r="L203" s="15" t="s">
        <v>399</v>
      </c>
    </row>
    <row r="204" spans="1:12" x14ac:dyDescent="0.25">
      <c r="A204" s="4" t="s">
        <v>431</v>
      </c>
      <c r="B204" s="1" t="s">
        <v>428</v>
      </c>
      <c r="C204" s="46" t="s">
        <v>430</v>
      </c>
      <c r="D204">
        <v>1</v>
      </c>
      <c r="E204" s="4" t="s">
        <v>294</v>
      </c>
      <c r="F204">
        <v>1</v>
      </c>
      <c r="G204" t="s">
        <v>294</v>
      </c>
      <c r="H204" s="4" t="s">
        <v>429</v>
      </c>
      <c r="I204">
        <v>1</v>
      </c>
      <c r="J204" t="s">
        <v>294</v>
      </c>
      <c r="K204" s="4" t="s">
        <v>370</v>
      </c>
      <c r="L204" s="47" t="s">
        <v>439</v>
      </c>
    </row>
    <row r="205" spans="1:12" x14ac:dyDescent="0.25">
      <c r="A205" s="4" t="s">
        <v>432</v>
      </c>
      <c r="B205" s="1" t="s">
        <v>428</v>
      </c>
      <c r="C205" s="46"/>
      <c r="D205">
        <v>1</v>
      </c>
      <c r="E205" s="4" t="s">
        <v>294</v>
      </c>
      <c r="F205">
        <v>1</v>
      </c>
      <c r="G205" t="s">
        <v>294</v>
      </c>
      <c r="H205" s="4" t="s">
        <v>429</v>
      </c>
      <c r="I205">
        <v>1</v>
      </c>
      <c r="J205" t="s">
        <v>294</v>
      </c>
      <c r="K205" s="4" t="s">
        <v>370</v>
      </c>
      <c r="L205" s="47"/>
    </row>
    <row r="206" spans="1:12" x14ac:dyDescent="0.25">
      <c r="A206" s="4" t="s">
        <v>297</v>
      </c>
      <c r="B206" s="1" t="s">
        <v>428</v>
      </c>
      <c r="C206" s="46"/>
      <c r="D206">
        <v>1</v>
      </c>
      <c r="E206" s="4" t="s">
        <v>294</v>
      </c>
      <c r="F206">
        <v>1</v>
      </c>
      <c r="G206" t="s">
        <v>294</v>
      </c>
      <c r="H206" s="4" t="s">
        <v>429</v>
      </c>
      <c r="I206">
        <v>1</v>
      </c>
      <c r="J206" t="s">
        <v>294</v>
      </c>
      <c r="K206" s="4" t="s">
        <v>370</v>
      </c>
      <c r="L206" s="47"/>
    </row>
    <row r="207" spans="1:12" x14ac:dyDescent="0.25">
      <c r="A207" s="4" t="s">
        <v>293</v>
      </c>
      <c r="B207" s="1" t="s">
        <v>428</v>
      </c>
      <c r="C207" s="46"/>
      <c r="D207">
        <v>1</v>
      </c>
      <c r="E207" s="4" t="s">
        <v>294</v>
      </c>
      <c r="F207">
        <v>1</v>
      </c>
      <c r="G207" t="s">
        <v>294</v>
      </c>
      <c r="H207" s="4" t="s">
        <v>429</v>
      </c>
      <c r="I207">
        <v>1</v>
      </c>
      <c r="J207" t="s">
        <v>294</v>
      </c>
      <c r="K207" s="4" t="s">
        <v>370</v>
      </c>
      <c r="L207" s="47"/>
    </row>
    <row r="208" spans="1:12" x14ac:dyDescent="0.25">
      <c r="A208" s="4" t="s">
        <v>433</v>
      </c>
      <c r="B208" s="1" t="s">
        <v>428</v>
      </c>
      <c r="C208" s="46"/>
      <c r="D208">
        <v>1</v>
      </c>
      <c r="E208" s="4" t="s">
        <v>294</v>
      </c>
      <c r="F208">
        <v>1</v>
      </c>
      <c r="G208" t="s">
        <v>294</v>
      </c>
      <c r="H208" s="4" t="s">
        <v>429</v>
      </c>
      <c r="I208">
        <v>1</v>
      </c>
      <c r="J208" t="s">
        <v>294</v>
      </c>
      <c r="K208" s="4" t="s">
        <v>370</v>
      </c>
      <c r="L208" s="47"/>
    </row>
    <row r="209" spans="1:12" x14ac:dyDescent="0.25">
      <c r="A209" s="4" t="s">
        <v>361</v>
      </c>
      <c r="B209" s="1" t="s">
        <v>428</v>
      </c>
      <c r="C209" s="46"/>
      <c r="D209">
        <v>1</v>
      </c>
      <c r="E209" s="4" t="s">
        <v>294</v>
      </c>
      <c r="F209">
        <v>1</v>
      </c>
      <c r="G209" t="s">
        <v>294</v>
      </c>
      <c r="H209" s="4" t="s">
        <v>429</v>
      </c>
      <c r="I209">
        <v>1</v>
      </c>
      <c r="J209" t="s">
        <v>294</v>
      </c>
      <c r="K209" s="4" t="s">
        <v>370</v>
      </c>
      <c r="L209" s="47"/>
    </row>
    <row r="210" spans="1:12" x14ac:dyDescent="0.25">
      <c r="A210" s="4" t="s">
        <v>434</v>
      </c>
      <c r="B210" s="1" t="s">
        <v>428</v>
      </c>
      <c r="C210" s="46"/>
      <c r="D210">
        <v>1</v>
      </c>
      <c r="E210" s="4" t="s">
        <v>294</v>
      </c>
      <c r="F210">
        <v>1</v>
      </c>
      <c r="G210" t="s">
        <v>294</v>
      </c>
      <c r="H210" s="4" t="s">
        <v>429</v>
      </c>
      <c r="I210">
        <v>1</v>
      </c>
      <c r="J210" t="s">
        <v>294</v>
      </c>
      <c r="K210" s="4" t="s">
        <v>370</v>
      </c>
      <c r="L210" s="47"/>
    </row>
    <row r="211" spans="1:12" x14ac:dyDescent="0.25">
      <c r="A211" s="4" t="s">
        <v>435</v>
      </c>
      <c r="B211" s="1" t="s">
        <v>428</v>
      </c>
      <c r="C211" s="46"/>
      <c r="D211">
        <v>1</v>
      </c>
      <c r="E211" s="4" t="s">
        <v>294</v>
      </c>
      <c r="F211">
        <v>1</v>
      </c>
      <c r="G211" t="s">
        <v>294</v>
      </c>
      <c r="H211" s="4" t="s">
        <v>429</v>
      </c>
      <c r="I211">
        <v>1</v>
      </c>
      <c r="J211" t="s">
        <v>294</v>
      </c>
      <c r="K211" s="4" t="s">
        <v>370</v>
      </c>
      <c r="L211" s="47"/>
    </row>
    <row r="212" spans="1:12" x14ac:dyDescent="0.25">
      <c r="A212" s="4" t="s">
        <v>436</v>
      </c>
      <c r="B212" s="1" t="s">
        <v>428</v>
      </c>
      <c r="C212" s="46"/>
      <c r="D212">
        <v>1</v>
      </c>
      <c r="E212" s="4" t="s">
        <v>294</v>
      </c>
      <c r="F212">
        <v>1</v>
      </c>
      <c r="G212" t="s">
        <v>294</v>
      </c>
      <c r="H212" s="4" t="s">
        <v>429</v>
      </c>
      <c r="I212">
        <v>1</v>
      </c>
      <c r="J212" t="s">
        <v>294</v>
      </c>
      <c r="K212" s="4" t="s">
        <v>370</v>
      </c>
      <c r="L212" s="47"/>
    </row>
    <row r="213" spans="1:12" x14ac:dyDescent="0.25">
      <c r="A213" s="4" t="s">
        <v>437</v>
      </c>
      <c r="B213" s="1" t="s">
        <v>428</v>
      </c>
      <c r="C213" s="46"/>
      <c r="D213">
        <v>1</v>
      </c>
      <c r="E213" s="4" t="s">
        <v>294</v>
      </c>
      <c r="F213">
        <v>1</v>
      </c>
      <c r="G213" t="s">
        <v>294</v>
      </c>
      <c r="H213" s="4" t="s">
        <v>429</v>
      </c>
      <c r="I213">
        <v>1</v>
      </c>
      <c r="J213" t="s">
        <v>294</v>
      </c>
      <c r="K213" s="4" t="s">
        <v>370</v>
      </c>
      <c r="L213" s="47"/>
    </row>
    <row r="214" spans="1:12" x14ac:dyDescent="0.25">
      <c r="A214" s="4" t="s">
        <v>438</v>
      </c>
      <c r="B214" s="1" t="s">
        <v>428</v>
      </c>
      <c r="C214" s="46"/>
      <c r="D214">
        <v>1</v>
      </c>
      <c r="E214" s="4" t="s">
        <v>294</v>
      </c>
      <c r="F214">
        <v>1</v>
      </c>
      <c r="G214" t="s">
        <v>294</v>
      </c>
      <c r="H214" s="4" t="s">
        <v>429</v>
      </c>
      <c r="I214">
        <v>1</v>
      </c>
      <c r="J214" t="s">
        <v>294</v>
      </c>
      <c r="K214" s="4" t="s">
        <v>370</v>
      </c>
      <c r="L214" s="47"/>
    </row>
    <row r="215" spans="1:12" x14ac:dyDescent="0.25">
      <c r="A215" s="43" t="s">
        <v>444</v>
      </c>
      <c r="B215" s="42" t="s">
        <v>428</v>
      </c>
      <c r="C215" s="43" t="s">
        <v>445</v>
      </c>
      <c r="D215" s="44">
        <v>43.4</v>
      </c>
      <c r="E215" s="45" t="s">
        <v>15</v>
      </c>
      <c r="F215">
        <v>1</v>
      </c>
      <c r="G215" t="s">
        <v>305</v>
      </c>
      <c r="H215" s="4" t="s">
        <v>341</v>
      </c>
      <c r="I215">
        <v>0.83199999999999996</v>
      </c>
      <c r="J215" t="s">
        <v>6</v>
      </c>
      <c r="K215" s="4" t="s">
        <v>440</v>
      </c>
      <c r="L215" s="46" t="s">
        <v>446</v>
      </c>
    </row>
    <row r="216" spans="1:12" x14ac:dyDescent="0.25">
      <c r="A216" s="43"/>
      <c r="B216" s="42"/>
      <c r="C216" s="43"/>
      <c r="D216" s="44"/>
      <c r="E216" s="45"/>
      <c r="I216">
        <f>150/1000*0.832*0.3</f>
        <v>3.7439999999999994E-2</v>
      </c>
      <c r="J216" t="s">
        <v>15</v>
      </c>
      <c r="K216" s="4" t="s">
        <v>441</v>
      </c>
      <c r="L216" s="46"/>
    </row>
    <row r="217" spans="1:12" x14ac:dyDescent="0.25">
      <c r="A217" s="43"/>
      <c r="B217" s="42"/>
      <c r="C217" s="43"/>
      <c r="D217" s="44"/>
      <c r="E217" s="45"/>
      <c r="I217">
        <f>150/1000*0.832*0.7</f>
        <v>8.7359999999999993E-2</v>
      </c>
      <c r="J217" t="s">
        <v>15</v>
      </c>
      <c r="K217" s="4" t="s">
        <v>442</v>
      </c>
      <c r="L217" s="46"/>
    </row>
    <row r="218" spans="1:12" x14ac:dyDescent="0.25">
      <c r="A218" s="43"/>
      <c r="B218" s="42"/>
      <c r="C218" s="43"/>
      <c r="D218" s="44"/>
      <c r="E218" s="45"/>
      <c r="I218">
        <v>0.83199999999999996</v>
      </c>
      <c r="J218" t="s">
        <v>6</v>
      </c>
      <c r="K218" s="4" t="s">
        <v>443</v>
      </c>
      <c r="L218" s="46"/>
    </row>
    <row r="219" spans="1:12" x14ac:dyDescent="0.25">
      <c r="A219" s="43"/>
      <c r="B219" s="42"/>
      <c r="C219" s="43"/>
      <c r="D219" s="44"/>
      <c r="E219" s="45"/>
      <c r="F219">
        <f>0.0008*0.0000165</f>
        <v>1.3200000000000002E-8</v>
      </c>
      <c r="G219" t="s">
        <v>6</v>
      </c>
      <c r="H219" s="4" t="s">
        <v>460</v>
      </c>
      <c r="I219">
        <f>0.0008*0.0000165</f>
        <v>1.3200000000000002E-8</v>
      </c>
      <c r="J219" t="s">
        <v>6</v>
      </c>
      <c r="K219" s="4" t="s">
        <v>457</v>
      </c>
      <c r="L219" s="46"/>
    </row>
    <row r="220" spans="1:12" x14ac:dyDescent="0.25">
      <c r="A220" s="43"/>
      <c r="B220" s="42"/>
      <c r="C220" s="43"/>
      <c r="D220" s="44"/>
      <c r="E220" s="45"/>
      <c r="F220">
        <f>0.0004*0.0000165</f>
        <v>6.6000000000000012E-9</v>
      </c>
      <c r="G220" t="s">
        <v>6</v>
      </c>
      <c r="H220" s="4" t="s">
        <v>459</v>
      </c>
      <c r="I220">
        <f>0.0004*0.0000165</f>
        <v>6.6000000000000012E-9</v>
      </c>
      <c r="J220" t="s">
        <v>6</v>
      </c>
      <c r="K220" s="4" t="s">
        <v>458</v>
      </c>
      <c r="L220" s="46"/>
    </row>
    <row r="221" spans="1:12" x14ac:dyDescent="0.25">
      <c r="A221" s="43"/>
      <c r="B221" s="42"/>
      <c r="C221" s="43"/>
      <c r="D221" s="44"/>
      <c r="E221" s="45"/>
      <c r="F221">
        <f>0.0676*0.0000165</f>
        <v>1.1153999999999999E-6</v>
      </c>
      <c r="G221" t="s">
        <v>6</v>
      </c>
      <c r="H221" s="4" t="s">
        <v>461</v>
      </c>
      <c r="I221">
        <f>0.0676*0.0000165</f>
        <v>1.1153999999999999E-6</v>
      </c>
      <c r="J221" t="s">
        <v>6</v>
      </c>
      <c r="K221" s="4" t="s">
        <v>462</v>
      </c>
      <c r="L221" s="46"/>
    </row>
    <row r="222" spans="1:12" x14ac:dyDescent="0.25">
      <c r="A222" s="43"/>
      <c r="B222" s="42"/>
      <c r="C222" s="43"/>
      <c r="D222" s="44"/>
      <c r="E222" s="45"/>
      <c r="F222" s="38">
        <v>2.4999999999999999E-8</v>
      </c>
      <c r="G222" t="s">
        <v>6</v>
      </c>
      <c r="H222" s="4" t="s">
        <v>459</v>
      </c>
      <c r="I222" s="38">
        <v>2.4999999999999999E-8</v>
      </c>
      <c r="J222" t="s">
        <v>6</v>
      </c>
      <c r="K222" s="4" t="s">
        <v>458</v>
      </c>
      <c r="L222" s="46"/>
    </row>
    <row r="223" spans="1:12" x14ac:dyDescent="0.25">
      <c r="A223" s="43"/>
      <c r="B223" s="42"/>
      <c r="C223" s="43"/>
      <c r="D223" s="44"/>
      <c r="E223" s="45"/>
      <c r="F223">
        <f>0.0008*0.0000024</f>
        <v>1.92E-9</v>
      </c>
      <c r="G223" t="s">
        <v>6</v>
      </c>
      <c r="H223" s="4" t="s">
        <v>466</v>
      </c>
      <c r="I223">
        <f>0.0008*0.0000024</f>
        <v>1.92E-9</v>
      </c>
      <c r="J223" t="s">
        <v>6</v>
      </c>
      <c r="K223" s="4" t="s">
        <v>463</v>
      </c>
      <c r="L223" s="46"/>
    </row>
    <row r="224" spans="1:12" x14ac:dyDescent="0.25">
      <c r="A224" s="43"/>
      <c r="B224" s="42"/>
      <c r="C224" s="43"/>
      <c r="D224" s="44"/>
      <c r="E224" s="45"/>
      <c r="F224">
        <f>0.0004*0.0000024</f>
        <v>9.5999999999999999E-10</v>
      </c>
      <c r="G224" t="s">
        <v>6</v>
      </c>
      <c r="H224" s="4" t="s">
        <v>467</v>
      </c>
      <c r="I224">
        <f>0.0004*0.0000024</f>
        <v>9.5999999999999999E-10</v>
      </c>
      <c r="J224" t="s">
        <v>6</v>
      </c>
      <c r="K224" s="4" t="s">
        <v>464</v>
      </c>
      <c r="L224" s="46"/>
    </row>
    <row r="225" spans="1:12" x14ac:dyDescent="0.25">
      <c r="A225" s="43"/>
      <c r="B225" s="42"/>
      <c r="C225" s="43"/>
      <c r="D225" s="44"/>
      <c r="E225" s="45"/>
      <c r="F225">
        <f>0.0676*0.0000024</f>
        <v>1.6223999999999998E-7</v>
      </c>
      <c r="G225" t="s">
        <v>6</v>
      </c>
      <c r="H225" s="4" t="s">
        <v>468</v>
      </c>
      <c r="I225">
        <f>0.0676*0.0000024</f>
        <v>1.6223999999999998E-7</v>
      </c>
      <c r="J225" t="s">
        <v>6</v>
      </c>
      <c r="K225" s="4" t="s">
        <v>465</v>
      </c>
      <c r="L225" s="46"/>
    </row>
    <row r="226" spans="1:12" x14ac:dyDescent="0.25">
      <c r="A226" s="43"/>
      <c r="B226" s="42"/>
      <c r="C226" s="43"/>
      <c r="D226" s="44"/>
      <c r="E226" s="45"/>
      <c r="F226">
        <f>0.0008*0.00000434</f>
        <v>3.472E-9</v>
      </c>
      <c r="G226" t="s">
        <v>6</v>
      </c>
      <c r="H226" s="4" t="s">
        <v>469</v>
      </c>
      <c r="I226">
        <f>0.0008*0.00000434</f>
        <v>3.472E-9</v>
      </c>
      <c r="J226" t="s">
        <v>6</v>
      </c>
      <c r="K226" s="4" t="s">
        <v>470</v>
      </c>
      <c r="L226" s="46"/>
    </row>
    <row r="227" spans="1:12" x14ac:dyDescent="0.25">
      <c r="A227" s="43"/>
      <c r="B227" s="42"/>
      <c r="C227" s="43"/>
      <c r="D227" s="44"/>
      <c r="E227" s="45"/>
      <c r="F227">
        <f>0.0004*0.00000434</f>
        <v>1.736E-9</v>
      </c>
      <c r="G227" t="s">
        <v>6</v>
      </c>
      <c r="H227" s="4" t="s">
        <v>471</v>
      </c>
      <c r="I227">
        <f>0.0004*0.00000434</f>
        <v>1.736E-9</v>
      </c>
      <c r="J227" t="s">
        <v>6</v>
      </c>
      <c r="K227" s="4" t="s">
        <v>472</v>
      </c>
      <c r="L227" s="46"/>
    </row>
    <row r="228" spans="1:12" x14ac:dyDescent="0.25">
      <c r="A228" s="43"/>
      <c r="B228" s="42"/>
      <c r="C228" s="43"/>
      <c r="D228" s="44"/>
      <c r="E228" s="45"/>
      <c r="F228">
        <f>0.0676*0.00000434</f>
        <v>2.9338399999999995E-7</v>
      </c>
      <c r="G228" t="s">
        <v>6</v>
      </c>
      <c r="H228" s="4" t="s">
        <v>473</v>
      </c>
      <c r="I228">
        <f>0.0676*0.00000434</f>
        <v>2.9338399999999995E-7</v>
      </c>
      <c r="J228" t="s">
        <v>6</v>
      </c>
      <c r="K228" s="4" t="s">
        <v>474</v>
      </c>
      <c r="L228" s="46"/>
    </row>
    <row r="229" spans="1:12" x14ac:dyDescent="0.25">
      <c r="A229" s="43"/>
      <c r="B229" s="42"/>
      <c r="C229" s="43"/>
      <c r="D229" s="44"/>
      <c r="E229" s="45"/>
      <c r="F229">
        <f>0.000656*0.0000165</f>
        <v>1.0824000000000001E-8</v>
      </c>
      <c r="G229" t="s">
        <v>6</v>
      </c>
      <c r="H229" s="4" t="s">
        <v>451</v>
      </c>
      <c r="I229">
        <f>0.000656*0.0000165</f>
        <v>1.0824000000000001E-8</v>
      </c>
      <c r="J229" t="s">
        <v>6</v>
      </c>
      <c r="K229" s="4" t="s">
        <v>450</v>
      </c>
      <c r="L229" s="46"/>
    </row>
    <row r="230" spans="1:12" x14ac:dyDescent="0.25">
      <c r="A230" s="43"/>
      <c r="B230" s="42"/>
      <c r="C230" s="43"/>
      <c r="D230" s="44"/>
      <c r="E230" s="45"/>
      <c r="F230">
        <f>0.000656*0.0000024</f>
        <v>1.5743999999999999E-9</v>
      </c>
      <c r="G230" t="s">
        <v>6</v>
      </c>
      <c r="H230" s="4" t="s">
        <v>453</v>
      </c>
      <c r="I230">
        <f>0.000656*0.0000024</f>
        <v>1.5743999999999999E-9</v>
      </c>
      <c r="J230" t="s">
        <v>6</v>
      </c>
      <c r="K230" s="4" t="s">
        <v>452</v>
      </c>
      <c r="L230" s="46"/>
    </row>
    <row r="231" spans="1:12" x14ac:dyDescent="0.25">
      <c r="A231" s="43"/>
      <c r="B231" s="42"/>
      <c r="C231" s="43"/>
      <c r="D231" s="44"/>
      <c r="E231" s="45"/>
      <c r="F231">
        <f>0.000656*0.00000434</f>
        <v>2.8470400000000001E-9</v>
      </c>
      <c r="G231" t="s">
        <v>6</v>
      </c>
      <c r="H231" s="4" t="s">
        <v>455</v>
      </c>
      <c r="I231">
        <f>0.000656*0.00000434</f>
        <v>2.8470400000000001E-9</v>
      </c>
      <c r="J231" t="s">
        <v>6</v>
      </c>
      <c r="K231" s="4" t="s">
        <v>454</v>
      </c>
      <c r="L231" s="46"/>
    </row>
    <row r="232" spans="1:12" x14ac:dyDescent="0.25">
      <c r="A232" s="43"/>
      <c r="B232" s="42"/>
      <c r="C232" s="43"/>
      <c r="D232" s="44"/>
      <c r="E232" s="45"/>
      <c r="F232">
        <f>0.000581*0.00000434</f>
        <v>2.52154E-9</v>
      </c>
      <c r="G232" t="s">
        <v>6</v>
      </c>
      <c r="H232" s="4" t="s">
        <v>456</v>
      </c>
      <c r="I232">
        <f>0.000581*0.00000434</f>
        <v>2.52154E-9</v>
      </c>
      <c r="J232" t="s">
        <v>6</v>
      </c>
      <c r="K232" s="4" t="s">
        <v>454</v>
      </c>
      <c r="L232" s="46"/>
    </row>
    <row r="233" spans="1:12" ht="31.5" customHeight="1" x14ac:dyDescent="0.25">
      <c r="A233" s="43" t="s">
        <v>32</v>
      </c>
      <c r="B233" s="42" t="s">
        <v>428</v>
      </c>
      <c r="C233" s="43" t="s">
        <v>445</v>
      </c>
      <c r="D233" s="44">
        <v>40</v>
      </c>
      <c r="E233" s="45" t="s">
        <v>15</v>
      </c>
      <c r="F233">
        <v>1</v>
      </c>
      <c r="G233" t="s">
        <v>305</v>
      </c>
      <c r="H233" s="4" t="s">
        <v>447</v>
      </c>
      <c r="I233">
        <v>1</v>
      </c>
      <c r="J233" t="s">
        <v>305</v>
      </c>
      <c r="K233" s="4" t="s">
        <v>448</v>
      </c>
      <c r="L233" s="41" t="s">
        <v>449</v>
      </c>
    </row>
    <row r="234" spans="1:12" x14ac:dyDescent="0.25">
      <c r="A234" s="43"/>
      <c r="B234" s="42"/>
      <c r="C234" s="43"/>
      <c r="D234" s="44"/>
      <c r="E234" s="45"/>
      <c r="F234">
        <f>0.000656*1.37*10^-2/897.6</f>
        <v>1.0012477718360072E-8</v>
      </c>
      <c r="G234" t="s">
        <v>6</v>
      </c>
      <c r="H234" s="4" t="s">
        <v>451</v>
      </c>
      <c r="I234">
        <f>0.000656*1.37*10^-2/897.6</f>
        <v>1.0012477718360072E-8</v>
      </c>
      <c r="J234" t="s">
        <v>6</v>
      </c>
      <c r="K234" s="4" t="s">
        <v>450</v>
      </c>
      <c r="L234" s="41"/>
    </row>
    <row r="235" spans="1:12" x14ac:dyDescent="0.25">
      <c r="A235" s="43"/>
      <c r="B235" s="42"/>
      <c r="C235" s="43"/>
      <c r="D235" s="44"/>
      <c r="E235" s="45"/>
      <c r="F235">
        <f>0.000656*1.98*10^-3/897.6</f>
        <v>1.4470588235294118E-9</v>
      </c>
      <c r="G235" t="s">
        <v>6</v>
      </c>
      <c r="H235" s="4" t="s">
        <v>453</v>
      </c>
      <c r="I235">
        <f>0.000656*1.98*10^-3/897.6</f>
        <v>1.4470588235294118E-9</v>
      </c>
      <c r="J235" t="s">
        <v>6</v>
      </c>
      <c r="K235" s="4" t="s">
        <v>452</v>
      </c>
      <c r="L235" s="41"/>
    </row>
    <row r="236" spans="1:12" x14ac:dyDescent="0.25">
      <c r="A236" s="43"/>
      <c r="B236" s="42"/>
      <c r="C236" s="43"/>
      <c r="D236" s="44"/>
      <c r="E236" s="45"/>
      <c r="F236">
        <f>0.000656*3.59*10^-3/897.6</f>
        <v>2.6237076648841356E-9</v>
      </c>
      <c r="G236" t="s">
        <v>6</v>
      </c>
      <c r="H236" s="4" t="s">
        <v>455</v>
      </c>
      <c r="I236">
        <f>0.000656*3.59*10^-3/897.6</f>
        <v>2.6237076648841356E-9</v>
      </c>
      <c r="J236" t="s">
        <v>6</v>
      </c>
      <c r="K236" s="4" t="s">
        <v>454</v>
      </c>
      <c r="L236" s="41"/>
    </row>
    <row r="237" spans="1:12" x14ac:dyDescent="0.25">
      <c r="A237" s="43"/>
      <c r="B237" s="42"/>
      <c r="C237" s="43"/>
      <c r="D237" s="44"/>
      <c r="E237" s="45"/>
      <c r="F237">
        <f>0.000581*3.59*10^-3/897.6</f>
        <v>2.3237410873440287E-9</v>
      </c>
      <c r="G237" t="s">
        <v>6</v>
      </c>
      <c r="H237" s="4" t="s">
        <v>456</v>
      </c>
      <c r="I237">
        <f>0.000581*3.59*10^-3/897.6</f>
        <v>2.3237410873440287E-9</v>
      </c>
      <c r="J237" t="s">
        <v>6</v>
      </c>
      <c r="K237" s="4" t="s">
        <v>454</v>
      </c>
      <c r="L237" s="41"/>
    </row>
    <row r="238" spans="1:12" ht="15" customHeight="1" x14ac:dyDescent="0.25">
      <c r="A238" s="43" t="s">
        <v>475</v>
      </c>
      <c r="B238" s="42" t="s">
        <v>428</v>
      </c>
      <c r="C238" s="43" t="s">
        <v>445</v>
      </c>
      <c r="D238" s="44">
        <v>41.5</v>
      </c>
      <c r="E238" s="45" t="s">
        <v>15</v>
      </c>
      <c r="F238">
        <v>1</v>
      </c>
      <c r="G238" t="s">
        <v>305</v>
      </c>
      <c r="H238" s="4" t="s">
        <v>476</v>
      </c>
      <c r="I238">
        <f>1.93*0.78</f>
        <v>1.5054000000000001</v>
      </c>
      <c r="J238" t="s">
        <v>10</v>
      </c>
      <c r="K238" s="4" t="s">
        <v>477</v>
      </c>
      <c r="L238" s="41" t="s">
        <v>449</v>
      </c>
    </row>
    <row r="239" spans="1:12" x14ac:dyDescent="0.25">
      <c r="A239" s="43"/>
      <c r="B239" s="42"/>
      <c r="C239" s="43"/>
      <c r="D239" s="44"/>
      <c r="E239" s="45"/>
      <c r="I239">
        <f>0.15*0.78</f>
        <v>0.11699999999999999</v>
      </c>
      <c r="J239" t="s">
        <v>15</v>
      </c>
      <c r="K239" s="4" t="s">
        <v>478</v>
      </c>
      <c r="L239" s="41"/>
    </row>
    <row r="240" spans="1:12" x14ac:dyDescent="0.25">
      <c r="A240" s="43"/>
      <c r="B240" s="42"/>
      <c r="C240" s="43"/>
      <c r="D240" s="44"/>
      <c r="E240" s="45"/>
      <c r="I240">
        <f>0.037*0.78</f>
        <v>2.886E-2</v>
      </c>
      <c r="J240" t="s">
        <v>294</v>
      </c>
      <c r="K240" s="4" t="s">
        <v>479</v>
      </c>
      <c r="L240" s="41"/>
    </row>
    <row r="241" spans="1:12" x14ac:dyDescent="0.25">
      <c r="A241" s="43"/>
      <c r="B241" s="42"/>
      <c r="C241" s="43"/>
      <c r="D241" s="44"/>
      <c r="E241" s="45"/>
      <c r="I241">
        <f>22.5*0.78</f>
        <v>17.55</v>
      </c>
      <c r="J241" t="s">
        <v>56</v>
      </c>
      <c r="K241" s="4" t="s">
        <v>480</v>
      </c>
      <c r="L241" s="41"/>
    </row>
    <row r="242" spans="1:12" x14ac:dyDescent="0.25">
      <c r="A242" s="43"/>
      <c r="B242" s="42"/>
      <c r="C242" s="43"/>
      <c r="D242" s="44"/>
      <c r="E242" s="45"/>
      <c r="I242">
        <f>0.0000000004*0.78</f>
        <v>3.1200000000000001E-10</v>
      </c>
      <c r="J242" t="s">
        <v>292</v>
      </c>
      <c r="K242" s="4" t="s">
        <v>481</v>
      </c>
      <c r="L242" s="41"/>
    </row>
    <row r="243" spans="1:12" x14ac:dyDescent="0.25">
      <c r="A243" s="43"/>
      <c r="B243" s="42"/>
      <c r="C243" s="43"/>
      <c r="D243" s="44"/>
      <c r="E243" s="45"/>
      <c r="I243">
        <f>11.8*0.78</f>
        <v>9.2040000000000006</v>
      </c>
      <c r="J243" t="s">
        <v>15</v>
      </c>
      <c r="K243" s="4" t="s">
        <v>482</v>
      </c>
      <c r="L243" s="41"/>
    </row>
    <row r="244" spans="1:12" x14ac:dyDescent="0.25">
      <c r="A244" s="43"/>
      <c r="B244" s="42"/>
      <c r="C244" s="43"/>
      <c r="D244" s="44"/>
      <c r="E244" s="45"/>
      <c r="I244">
        <f>0.78</f>
        <v>0.78</v>
      </c>
      <c r="J244" t="s">
        <v>6</v>
      </c>
      <c r="K244" s="4" t="s">
        <v>443</v>
      </c>
      <c r="L244" s="41"/>
    </row>
    <row r="245" spans="1:12" x14ac:dyDescent="0.25">
      <c r="A245" s="43"/>
      <c r="B245" s="42"/>
      <c r="C245" s="43"/>
      <c r="D245" s="44"/>
      <c r="E245" s="45"/>
      <c r="I245">
        <f>150/1000*0.78*0.3</f>
        <v>3.5099999999999999E-2</v>
      </c>
      <c r="J245" t="s">
        <v>15</v>
      </c>
      <c r="K245" s="4" t="s">
        <v>441</v>
      </c>
      <c r="L245" s="41"/>
    </row>
    <row r="246" spans="1:12" x14ac:dyDescent="0.25">
      <c r="A246" s="43"/>
      <c r="B246" s="42"/>
      <c r="C246" s="43"/>
      <c r="D246" s="44"/>
      <c r="E246" s="45"/>
      <c r="I246">
        <f>150/1000*0.78*0.7</f>
        <v>8.1899999999999987E-2</v>
      </c>
      <c r="J246" t="s">
        <v>15</v>
      </c>
      <c r="K246" s="4" t="s">
        <v>442</v>
      </c>
      <c r="L246" s="41"/>
    </row>
    <row r="247" spans="1:12" x14ac:dyDescent="0.25">
      <c r="A247" s="43"/>
      <c r="B247" s="42"/>
      <c r="C247" s="43"/>
      <c r="D247" s="44"/>
      <c r="E247" s="45"/>
      <c r="F247">
        <f>0.0008*0.0000157</f>
        <v>1.256E-8</v>
      </c>
      <c r="G247" t="s">
        <v>6</v>
      </c>
      <c r="H247" s="4" t="s">
        <v>460</v>
      </c>
      <c r="I247">
        <f>0.0008*0.0000157</f>
        <v>1.256E-8</v>
      </c>
      <c r="J247" t="s">
        <v>6</v>
      </c>
      <c r="K247" s="4" t="s">
        <v>457</v>
      </c>
      <c r="L247" s="41"/>
    </row>
    <row r="248" spans="1:12" x14ac:dyDescent="0.25">
      <c r="A248" s="43"/>
      <c r="B248" s="42"/>
      <c r="C248" s="43"/>
      <c r="D248" s="44"/>
      <c r="E248" s="45"/>
      <c r="F248">
        <f>0.0004*0.0000157</f>
        <v>6.2799999999999998E-9</v>
      </c>
      <c r="G248" t="s">
        <v>6</v>
      </c>
      <c r="H248" s="4" t="s">
        <v>459</v>
      </c>
      <c r="I248">
        <f>0.0004*0.0000157</f>
        <v>6.2799999999999998E-9</v>
      </c>
      <c r="J248" t="s">
        <v>6</v>
      </c>
      <c r="K248" s="4" t="s">
        <v>458</v>
      </c>
      <c r="L248" s="41"/>
    </row>
    <row r="249" spans="1:12" x14ac:dyDescent="0.25">
      <c r="A249" s="43"/>
      <c r="B249" s="42"/>
      <c r="C249" s="43"/>
      <c r="D249" s="44"/>
      <c r="E249" s="45"/>
      <c r="F249">
        <f>0.0676*0.0000157</f>
        <v>1.0613199999999998E-6</v>
      </c>
      <c r="G249" t="s">
        <v>6</v>
      </c>
      <c r="H249" s="4" t="s">
        <v>461</v>
      </c>
      <c r="I249">
        <f>0.0676*0.0000157</f>
        <v>1.0613199999999998E-6</v>
      </c>
      <c r="J249" t="s">
        <v>6</v>
      </c>
      <c r="K249" s="4" t="s">
        <v>462</v>
      </c>
      <c r="L249" s="41"/>
    </row>
    <row r="250" spans="1:12" x14ac:dyDescent="0.25">
      <c r="A250" s="43"/>
      <c r="B250" s="42"/>
      <c r="C250" s="43"/>
      <c r="D250" s="44"/>
      <c r="E250" s="45"/>
      <c r="F250" s="38">
        <v>2.4500000000000001E-8</v>
      </c>
      <c r="G250" t="s">
        <v>6</v>
      </c>
      <c r="H250" s="4" t="s">
        <v>459</v>
      </c>
      <c r="I250" s="38">
        <v>2.4500000000000001E-8</v>
      </c>
      <c r="J250" t="s">
        <v>6</v>
      </c>
      <c r="K250" s="4" t="s">
        <v>458</v>
      </c>
      <c r="L250" s="41"/>
    </row>
    <row r="251" spans="1:12" x14ac:dyDescent="0.25">
      <c r="A251" s="43"/>
      <c r="B251" s="42"/>
      <c r="C251" s="43"/>
      <c r="D251" s="44"/>
      <c r="E251" s="45"/>
      <c r="F251">
        <f>0.0008*0.00000228</f>
        <v>1.8240000000000003E-9</v>
      </c>
      <c r="G251" t="s">
        <v>6</v>
      </c>
      <c r="H251" s="4" t="s">
        <v>466</v>
      </c>
      <c r="I251">
        <f>0.0008*0.00000228</f>
        <v>1.8240000000000003E-9</v>
      </c>
      <c r="J251" t="s">
        <v>6</v>
      </c>
      <c r="K251" s="4" t="s">
        <v>463</v>
      </c>
      <c r="L251" s="41"/>
    </row>
    <row r="252" spans="1:12" x14ac:dyDescent="0.25">
      <c r="A252" s="43"/>
      <c r="B252" s="42"/>
      <c r="C252" s="43"/>
      <c r="D252" s="44"/>
      <c r="E252" s="45"/>
      <c r="F252">
        <f>0.0004*0.00000228</f>
        <v>9.1200000000000016E-10</v>
      </c>
      <c r="G252" t="s">
        <v>6</v>
      </c>
      <c r="H252" s="4" t="s">
        <v>467</v>
      </c>
      <c r="I252">
        <f>0.0004*0.00000228</f>
        <v>9.1200000000000016E-10</v>
      </c>
      <c r="J252" t="s">
        <v>6</v>
      </c>
      <c r="K252" s="4" t="s">
        <v>464</v>
      </c>
      <c r="L252" s="41"/>
    </row>
    <row r="253" spans="1:12" x14ac:dyDescent="0.25">
      <c r="A253" s="43"/>
      <c r="B253" s="42"/>
      <c r="C253" s="43"/>
      <c r="D253" s="44"/>
      <c r="E253" s="45"/>
      <c r="F253">
        <f>0.0676*0.00000228</f>
        <v>1.5412799999999999E-7</v>
      </c>
      <c r="G253" t="s">
        <v>6</v>
      </c>
      <c r="H253" s="4" t="s">
        <v>468</v>
      </c>
      <c r="I253">
        <f>0.0676*0.00000228</f>
        <v>1.5412799999999999E-7</v>
      </c>
      <c r="J253" t="s">
        <v>6</v>
      </c>
      <c r="K253" s="4" t="s">
        <v>465</v>
      </c>
      <c r="L253" s="41"/>
    </row>
    <row r="254" spans="1:12" x14ac:dyDescent="0.25">
      <c r="A254" s="43"/>
      <c r="B254" s="42"/>
      <c r="C254" s="43"/>
      <c r="D254" s="44"/>
      <c r="E254" s="45"/>
      <c r="F254">
        <f>0.0008*0.00000414</f>
        <v>3.3120000000000001E-9</v>
      </c>
      <c r="G254" t="s">
        <v>6</v>
      </c>
      <c r="H254" s="4" t="s">
        <v>469</v>
      </c>
      <c r="I254">
        <f>0.0008*0.00000414</f>
        <v>3.3120000000000001E-9</v>
      </c>
      <c r="J254" t="s">
        <v>6</v>
      </c>
      <c r="K254" s="4" t="s">
        <v>470</v>
      </c>
      <c r="L254" s="41"/>
    </row>
    <row r="255" spans="1:12" x14ac:dyDescent="0.25">
      <c r="A255" s="43"/>
      <c r="B255" s="42"/>
      <c r="C255" s="43"/>
      <c r="D255" s="44"/>
      <c r="E255" s="45"/>
      <c r="F255">
        <f>0.0004*0.00000414</f>
        <v>1.6560000000000001E-9</v>
      </c>
      <c r="G255" t="s">
        <v>6</v>
      </c>
      <c r="H255" s="4" t="s">
        <v>471</v>
      </c>
      <c r="I255">
        <f>0.0004*0.00000414</f>
        <v>1.6560000000000001E-9</v>
      </c>
      <c r="J255" t="s">
        <v>6</v>
      </c>
      <c r="K255" s="4" t="s">
        <v>472</v>
      </c>
      <c r="L255" s="41"/>
    </row>
    <row r="256" spans="1:12" x14ac:dyDescent="0.25">
      <c r="A256" s="43"/>
      <c r="B256" s="42"/>
      <c r="C256" s="43"/>
      <c r="D256" s="44"/>
      <c r="E256" s="45"/>
      <c r="F256">
        <f>0.0676*0.00000414</f>
        <v>2.7986399999999997E-7</v>
      </c>
      <c r="G256" t="s">
        <v>6</v>
      </c>
      <c r="H256" s="4" t="s">
        <v>473</v>
      </c>
      <c r="I256">
        <f>0.0676*0.00000414</f>
        <v>2.7986399999999997E-7</v>
      </c>
      <c r="J256" t="s">
        <v>6</v>
      </c>
      <c r="K256" s="4" t="s">
        <v>474</v>
      </c>
      <c r="L256" s="41"/>
    </row>
    <row r="257" spans="1:12" x14ac:dyDescent="0.25">
      <c r="A257" s="43"/>
      <c r="B257" s="42"/>
      <c r="C257" s="43"/>
      <c r="D257" s="44"/>
      <c r="E257" s="45"/>
      <c r="F257">
        <f>0.000656*0.0000157</f>
        <v>1.0299199999999999E-8</v>
      </c>
      <c r="G257" t="s">
        <v>6</v>
      </c>
      <c r="H257" s="4" t="s">
        <v>451</v>
      </c>
      <c r="I257">
        <f>0.000656*0.0000157</f>
        <v>1.0299199999999999E-8</v>
      </c>
      <c r="J257" t="s">
        <v>6</v>
      </c>
      <c r="K257" s="4" t="s">
        <v>450</v>
      </c>
      <c r="L257" s="41"/>
    </row>
    <row r="258" spans="1:12" x14ac:dyDescent="0.25">
      <c r="A258" s="43"/>
      <c r="B258" s="42"/>
      <c r="C258" s="43"/>
      <c r="D258" s="44"/>
      <c r="E258" s="45"/>
      <c r="F258">
        <f>0.000656*0.00000228</f>
        <v>1.4956800000000002E-9</v>
      </c>
      <c r="G258" t="s">
        <v>6</v>
      </c>
      <c r="H258" s="4" t="s">
        <v>453</v>
      </c>
      <c r="I258">
        <f>0.000656*0.00000228</f>
        <v>1.4956800000000002E-9</v>
      </c>
      <c r="J258" t="s">
        <v>6</v>
      </c>
      <c r="K258" s="4" t="s">
        <v>452</v>
      </c>
      <c r="L258" s="41"/>
    </row>
    <row r="259" spans="1:12" x14ac:dyDescent="0.25">
      <c r="A259" s="43"/>
      <c r="B259" s="42"/>
      <c r="C259" s="43"/>
      <c r="D259" s="44"/>
      <c r="E259" s="45"/>
      <c r="F259">
        <f>0.000656*0.00000414</f>
        <v>2.71584E-9</v>
      </c>
      <c r="G259" t="s">
        <v>6</v>
      </c>
      <c r="H259" s="4" t="s">
        <v>455</v>
      </c>
      <c r="I259">
        <f>0.000656*0.00000414</f>
        <v>2.71584E-9</v>
      </c>
      <c r="J259" t="s">
        <v>6</v>
      </c>
      <c r="K259" s="4" t="s">
        <v>454</v>
      </c>
      <c r="L259" s="41"/>
    </row>
    <row r="260" spans="1:12" x14ac:dyDescent="0.25">
      <c r="A260" s="43"/>
      <c r="B260" s="42"/>
      <c r="C260" s="43"/>
      <c r="D260" s="44"/>
      <c r="E260" s="45"/>
      <c r="F260">
        <f>0.000581*0.00000414</f>
        <v>2.4053400000000003E-9</v>
      </c>
      <c r="G260" t="s">
        <v>6</v>
      </c>
      <c r="H260" s="4" t="s">
        <v>456</v>
      </c>
      <c r="I260">
        <f>0.000581*0.00000414</f>
        <v>2.4053400000000003E-9</v>
      </c>
      <c r="J260" t="s">
        <v>6</v>
      </c>
      <c r="K260" s="4" t="s">
        <v>454</v>
      </c>
      <c r="L260" s="41"/>
    </row>
    <row r="261" spans="1:12" x14ac:dyDescent="0.25">
      <c r="A261" s="43" t="s">
        <v>31</v>
      </c>
      <c r="B261" s="42" t="s">
        <v>428</v>
      </c>
      <c r="C261" s="43" t="s">
        <v>445</v>
      </c>
      <c r="D261" s="44">
        <v>41.7</v>
      </c>
      <c r="E261" s="45" t="s">
        <v>15</v>
      </c>
      <c r="F261">
        <v>1</v>
      </c>
      <c r="G261" t="s">
        <v>305</v>
      </c>
      <c r="H261" s="4" t="s">
        <v>483</v>
      </c>
      <c r="I261">
        <v>1</v>
      </c>
      <c r="J261" t="s">
        <v>305</v>
      </c>
      <c r="K261" s="4" t="s">
        <v>484</v>
      </c>
      <c r="L261" s="41" t="s">
        <v>449</v>
      </c>
    </row>
    <row r="262" spans="1:12" x14ac:dyDescent="0.25">
      <c r="A262" s="43"/>
      <c r="B262" s="42"/>
      <c r="C262" s="43"/>
      <c r="D262" s="44"/>
      <c r="E262" s="45"/>
      <c r="F262">
        <f>0.000656*1.42*10^-2/897.6</f>
        <v>1.037789661319073E-8</v>
      </c>
      <c r="G262" t="s">
        <v>6</v>
      </c>
      <c r="H262" s="4" t="s">
        <v>451</v>
      </c>
      <c r="I262">
        <f>0.000656*1.42*10^-2/897.6</f>
        <v>1.037789661319073E-8</v>
      </c>
      <c r="J262" t="s">
        <v>6</v>
      </c>
      <c r="K262" s="4" t="s">
        <v>450</v>
      </c>
      <c r="L262" s="41"/>
    </row>
    <row r="263" spans="1:12" x14ac:dyDescent="0.25">
      <c r="A263" s="43"/>
      <c r="B263" s="42"/>
      <c r="C263" s="43"/>
      <c r="D263" s="44"/>
      <c r="E263" s="45"/>
      <c r="F263">
        <f>0.000656*2.06*10^-3/897.6</f>
        <v>1.5055258467023173E-9</v>
      </c>
      <c r="G263" t="s">
        <v>6</v>
      </c>
      <c r="H263" s="4" t="s">
        <v>453</v>
      </c>
      <c r="I263">
        <f>0.000656*2.06*10^-3/897.6</f>
        <v>1.5055258467023173E-9</v>
      </c>
      <c r="J263" t="s">
        <v>6</v>
      </c>
      <c r="K263" s="4" t="s">
        <v>452</v>
      </c>
      <c r="L263" s="41"/>
    </row>
    <row r="264" spans="1:12" x14ac:dyDescent="0.25">
      <c r="A264" s="43"/>
      <c r="B264" s="42"/>
      <c r="C264" s="43"/>
      <c r="D264" s="44"/>
      <c r="E264" s="45"/>
      <c r="F264">
        <f>0.000656*3.75*10^-3/897.6</f>
        <v>2.7406417112299466E-9</v>
      </c>
      <c r="G264" t="s">
        <v>6</v>
      </c>
      <c r="H264" s="4" t="s">
        <v>455</v>
      </c>
      <c r="I264">
        <f>0.000656*3.75*10^-3/897.6</f>
        <v>2.7406417112299466E-9</v>
      </c>
      <c r="J264" t="s">
        <v>6</v>
      </c>
      <c r="K264" s="4" t="s">
        <v>454</v>
      </c>
      <c r="L264" s="41"/>
    </row>
    <row r="265" spans="1:12" x14ac:dyDescent="0.25">
      <c r="A265" s="43"/>
      <c r="B265" s="42"/>
      <c r="C265" s="43"/>
      <c r="D265" s="44"/>
      <c r="E265" s="45"/>
      <c r="F265">
        <f>0.000581*3.75*10^-3/897.6</f>
        <v>2.4273061497326205E-9</v>
      </c>
      <c r="G265" t="s">
        <v>6</v>
      </c>
      <c r="H265" s="4" t="s">
        <v>456</v>
      </c>
      <c r="I265">
        <f>0.000581*3.75*10^-3/897.6</f>
        <v>2.4273061497326205E-9</v>
      </c>
      <c r="J265" t="s">
        <v>6</v>
      </c>
      <c r="K265" s="4" t="s">
        <v>454</v>
      </c>
      <c r="L265" s="41"/>
    </row>
    <row r="266" spans="1:12" x14ac:dyDescent="0.25">
      <c r="A266" s="43" t="s">
        <v>485</v>
      </c>
      <c r="B266" s="42" t="s">
        <v>428</v>
      </c>
      <c r="C266" s="43" t="s">
        <v>445</v>
      </c>
      <c r="D266" s="44">
        <v>43.3</v>
      </c>
      <c r="E266" s="45" t="s">
        <v>15</v>
      </c>
      <c r="F266">
        <v>1</v>
      </c>
      <c r="G266" t="s">
        <v>305</v>
      </c>
      <c r="H266" s="4" t="s">
        <v>341</v>
      </c>
      <c r="I266">
        <v>0.83199999999999996</v>
      </c>
      <c r="J266" t="s">
        <v>6</v>
      </c>
      <c r="K266" s="4" t="s">
        <v>440</v>
      </c>
      <c r="L266" s="46" t="s">
        <v>446</v>
      </c>
    </row>
    <row r="267" spans="1:12" x14ac:dyDescent="0.25">
      <c r="A267" s="43"/>
      <c r="B267" s="42"/>
      <c r="C267" s="43"/>
      <c r="D267" s="44"/>
      <c r="E267" s="45"/>
      <c r="I267">
        <f>150/1000*0.832*0.3</f>
        <v>3.7439999999999994E-2</v>
      </c>
      <c r="J267" t="s">
        <v>15</v>
      </c>
      <c r="K267" s="4" t="s">
        <v>441</v>
      </c>
      <c r="L267" s="46"/>
    </row>
    <row r="268" spans="1:12" x14ac:dyDescent="0.25">
      <c r="A268" s="43"/>
      <c r="B268" s="42"/>
      <c r="C268" s="43"/>
      <c r="D268" s="44"/>
      <c r="E268" s="45"/>
      <c r="I268">
        <f>150/1000*0.832*0.7</f>
        <v>8.7359999999999993E-2</v>
      </c>
      <c r="J268" t="s">
        <v>15</v>
      </c>
      <c r="K268" s="4" t="s">
        <v>442</v>
      </c>
      <c r="L268" s="46"/>
    </row>
    <row r="269" spans="1:12" x14ac:dyDescent="0.25">
      <c r="A269" s="43"/>
      <c r="B269" s="42"/>
      <c r="C269" s="43"/>
      <c r="D269" s="44"/>
      <c r="E269" s="45"/>
      <c r="I269">
        <v>0.83199999999999996</v>
      </c>
      <c r="J269" t="s">
        <v>6</v>
      </c>
      <c r="K269" s="4" t="s">
        <v>443</v>
      </c>
      <c r="L269" s="46"/>
    </row>
    <row r="270" spans="1:12" x14ac:dyDescent="0.25">
      <c r="A270" s="43"/>
      <c r="B270" s="42"/>
      <c r="C270" s="43"/>
      <c r="D270" s="44"/>
      <c r="E270" s="45"/>
      <c r="F270">
        <f>0.0008*0.0000165</f>
        <v>1.3200000000000002E-8</v>
      </c>
      <c r="G270" t="s">
        <v>6</v>
      </c>
      <c r="H270" s="4" t="s">
        <v>460</v>
      </c>
      <c r="I270">
        <f>0.0008*0.0000165</f>
        <v>1.3200000000000002E-8</v>
      </c>
      <c r="J270" t="s">
        <v>6</v>
      </c>
      <c r="K270" s="4" t="s">
        <v>457</v>
      </c>
      <c r="L270" s="46"/>
    </row>
    <row r="271" spans="1:12" x14ac:dyDescent="0.25">
      <c r="A271" s="43"/>
      <c r="B271" s="42"/>
      <c r="C271" s="43"/>
      <c r="D271" s="44"/>
      <c r="E271" s="45"/>
      <c r="F271">
        <f>0.0004*0.0000165</f>
        <v>6.6000000000000012E-9</v>
      </c>
      <c r="G271" t="s">
        <v>6</v>
      </c>
      <c r="H271" s="4" t="s">
        <v>459</v>
      </c>
      <c r="I271">
        <f>0.0004*0.0000165</f>
        <v>6.6000000000000012E-9</v>
      </c>
      <c r="J271" t="s">
        <v>6</v>
      </c>
      <c r="K271" s="4" t="s">
        <v>458</v>
      </c>
      <c r="L271" s="46"/>
    </row>
    <row r="272" spans="1:12" x14ac:dyDescent="0.25">
      <c r="A272" s="43"/>
      <c r="B272" s="42"/>
      <c r="C272" s="43"/>
      <c r="D272" s="44"/>
      <c r="E272" s="45"/>
      <c r="F272">
        <f>0.0676*0.0000165</f>
        <v>1.1153999999999999E-6</v>
      </c>
      <c r="G272" t="s">
        <v>6</v>
      </c>
      <c r="H272" s="4" t="s">
        <v>461</v>
      </c>
      <c r="I272">
        <f>0.0676*0.0000165</f>
        <v>1.1153999999999999E-6</v>
      </c>
      <c r="J272" t="s">
        <v>6</v>
      </c>
      <c r="K272" s="4" t="s">
        <v>462</v>
      </c>
      <c r="L272" s="46"/>
    </row>
    <row r="273" spans="1:12" x14ac:dyDescent="0.25">
      <c r="A273" s="43"/>
      <c r="B273" s="42"/>
      <c r="C273" s="43"/>
      <c r="D273" s="44"/>
      <c r="E273" s="45"/>
      <c r="F273" s="38">
        <v>2.4999999999999999E-8</v>
      </c>
      <c r="G273" t="s">
        <v>6</v>
      </c>
      <c r="H273" s="4" t="s">
        <v>459</v>
      </c>
      <c r="I273" s="38">
        <v>2.4999999999999999E-8</v>
      </c>
      <c r="J273" t="s">
        <v>6</v>
      </c>
      <c r="K273" s="4" t="s">
        <v>458</v>
      </c>
      <c r="L273" s="46"/>
    </row>
    <row r="274" spans="1:12" x14ac:dyDescent="0.25">
      <c r="A274" s="43"/>
      <c r="B274" s="42"/>
      <c r="C274" s="43"/>
      <c r="D274" s="44"/>
      <c r="E274" s="45"/>
      <c r="F274">
        <f>0.0008*0.0000024</f>
        <v>1.92E-9</v>
      </c>
      <c r="G274" t="s">
        <v>6</v>
      </c>
      <c r="H274" s="4" t="s">
        <v>466</v>
      </c>
      <c r="I274">
        <f>0.0008*0.0000024</f>
        <v>1.92E-9</v>
      </c>
      <c r="J274" t="s">
        <v>6</v>
      </c>
      <c r="K274" s="4" t="s">
        <v>463</v>
      </c>
      <c r="L274" s="46"/>
    </row>
    <row r="275" spans="1:12" x14ac:dyDescent="0.25">
      <c r="A275" s="43"/>
      <c r="B275" s="42"/>
      <c r="C275" s="43"/>
      <c r="D275" s="44"/>
      <c r="E275" s="45"/>
      <c r="F275">
        <f>0.0004*0.0000024</f>
        <v>9.5999999999999999E-10</v>
      </c>
      <c r="G275" t="s">
        <v>6</v>
      </c>
      <c r="H275" s="4" t="s">
        <v>467</v>
      </c>
      <c r="I275">
        <f>0.0004*0.0000024</f>
        <v>9.5999999999999999E-10</v>
      </c>
      <c r="J275" t="s">
        <v>6</v>
      </c>
      <c r="K275" s="4" t="s">
        <v>464</v>
      </c>
      <c r="L275" s="46"/>
    </row>
    <row r="276" spans="1:12" x14ac:dyDescent="0.25">
      <c r="A276" s="43"/>
      <c r="B276" s="42"/>
      <c r="C276" s="43"/>
      <c r="D276" s="44"/>
      <c r="E276" s="45"/>
      <c r="F276">
        <f>0.0676*0.0000024</f>
        <v>1.6223999999999998E-7</v>
      </c>
      <c r="G276" t="s">
        <v>6</v>
      </c>
      <c r="H276" s="4" t="s">
        <v>468</v>
      </c>
      <c r="I276">
        <f>0.0676*0.0000024</f>
        <v>1.6223999999999998E-7</v>
      </c>
      <c r="J276" t="s">
        <v>6</v>
      </c>
      <c r="K276" s="4" t="s">
        <v>465</v>
      </c>
      <c r="L276" s="46"/>
    </row>
    <row r="277" spans="1:12" x14ac:dyDescent="0.25">
      <c r="A277" s="43"/>
      <c r="B277" s="42"/>
      <c r="C277" s="43"/>
      <c r="D277" s="44"/>
      <c r="E277" s="45"/>
      <c r="F277">
        <f>0.0008*0.00000434</f>
        <v>3.472E-9</v>
      </c>
      <c r="G277" t="s">
        <v>6</v>
      </c>
      <c r="H277" s="4" t="s">
        <v>469</v>
      </c>
      <c r="I277">
        <f>0.0008*0.00000434</f>
        <v>3.472E-9</v>
      </c>
      <c r="J277" t="s">
        <v>6</v>
      </c>
      <c r="K277" s="4" t="s">
        <v>470</v>
      </c>
      <c r="L277" s="46"/>
    </row>
    <row r="278" spans="1:12" x14ac:dyDescent="0.25">
      <c r="A278" s="43"/>
      <c r="B278" s="42"/>
      <c r="C278" s="43"/>
      <c r="D278" s="44"/>
      <c r="E278" s="45"/>
      <c r="F278">
        <f>0.0004*0.00000434</f>
        <v>1.736E-9</v>
      </c>
      <c r="G278" t="s">
        <v>6</v>
      </c>
      <c r="H278" s="4" t="s">
        <v>471</v>
      </c>
      <c r="I278">
        <f>0.0004*0.00000434</f>
        <v>1.736E-9</v>
      </c>
      <c r="J278" t="s">
        <v>6</v>
      </c>
      <c r="K278" s="4" t="s">
        <v>472</v>
      </c>
      <c r="L278" s="46"/>
    </row>
    <row r="279" spans="1:12" x14ac:dyDescent="0.25">
      <c r="A279" s="43"/>
      <c r="B279" s="42"/>
      <c r="C279" s="43"/>
      <c r="D279" s="44"/>
      <c r="E279" s="45"/>
      <c r="F279">
        <f>0.0676*0.00000434</f>
        <v>2.9338399999999995E-7</v>
      </c>
      <c r="G279" t="s">
        <v>6</v>
      </c>
      <c r="H279" s="4" t="s">
        <v>473</v>
      </c>
      <c r="I279">
        <f>0.0676*0.00000434</f>
        <v>2.9338399999999995E-7</v>
      </c>
      <c r="J279" t="s">
        <v>6</v>
      </c>
      <c r="K279" s="4" t="s">
        <v>474</v>
      </c>
      <c r="L279" s="46"/>
    </row>
    <row r="280" spans="1:12" x14ac:dyDescent="0.25">
      <c r="A280" s="43"/>
      <c r="B280" s="42"/>
      <c r="C280" s="43"/>
      <c r="D280" s="44"/>
      <c r="E280" s="45"/>
      <c r="F280">
        <f>0.000656*0.0000165</f>
        <v>1.0824000000000001E-8</v>
      </c>
      <c r="G280" t="s">
        <v>6</v>
      </c>
      <c r="H280" s="4" t="s">
        <v>451</v>
      </c>
      <c r="I280">
        <f>0.000656*0.0000165</f>
        <v>1.0824000000000001E-8</v>
      </c>
      <c r="J280" t="s">
        <v>6</v>
      </c>
      <c r="K280" s="4" t="s">
        <v>450</v>
      </c>
      <c r="L280" s="46"/>
    </row>
    <row r="281" spans="1:12" x14ac:dyDescent="0.25">
      <c r="A281" s="43"/>
      <c r="B281" s="42"/>
      <c r="C281" s="43"/>
      <c r="D281" s="44"/>
      <c r="E281" s="45"/>
      <c r="F281">
        <f>0.000656*0.0000024</f>
        <v>1.5743999999999999E-9</v>
      </c>
      <c r="G281" t="s">
        <v>6</v>
      </c>
      <c r="H281" s="4" t="s">
        <v>453</v>
      </c>
      <c r="I281">
        <f>0.000656*0.0000024</f>
        <v>1.5743999999999999E-9</v>
      </c>
      <c r="J281" t="s">
        <v>6</v>
      </c>
      <c r="K281" s="4" t="s">
        <v>452</v>
      </c>
      <c r="L281" s="46"/>
    </row>
    <row r="282" spans="1:12" x14ac:dyDescent="0.25">
      <c r="A282" s="43"/>
      <c r="B282" s="42"/>
      <c r="C282" s="43"/>
      <c r="D282" s="44"/>
      <c r="E282" s="45"/>
      <c r="F282">
        <f>0.000656*0.00000434</f>
        <v>2.8470400000000001E-9</v>
      </c>
      <c r="G282" t="s">
        <v>6</v>
      </c>
      <c r="H282" s="4" t="s">
        <v>455</v>
      </c>
      <c r="I282">
        <f>0.000656*0.00000434</f>
        <v>2.8470400000000001E-9</v>
      </c>
      <c r="J282" t="s">
        <v>6</v>
      </c>
      <c r="K282" s="4" t="s">
        <v>454</v>
      </c>
      <c r="L282" s="46"/>
    </row>
    <row r="283" spans="1:12" x14ac:dyDescent="0.25">
      <c r="A283" s="43"/>
      <c r="B283" s="42"/>
      <c r="C283" s="43"/>
      <c r="D283" s="44"/>
      <c r="E283" s="45"/>
      <c r="F283">
        <f>0.000581*0.00000434</f>
        <v>2.52154E-9</v>
      </c>
      <c r="G283" t="s">
        <v>6</v>
      </c>
      <c r="H283" s="4" t="s">
        <v>456</v>
      </c>
      <c r="I283">
        <f>0.000581*0.00000434</f>
        <v>2.52154E-9</v>
      </c>
      <c r="J283" t="s">
        <v>6</v>
      </c>
      <c r="K283" s="4" t="s">
        <v>454</v>
      </c>
      <c r="L283" s="46"/>
    </row>
    <row r="284" spans="1:12" x14ac:dyDescent="0.25">
      <c r="A284" s="43" t="s">
        <v>486</v>
      </c>
      <c r="B284" s="42" t="s">
        <v>428</v>
      </c>
      <c r="C284" s="43" t="s">
        <v>445</v>
      </c>
      <c r="D284" s="44">
        <v>40</v>
      </c>
      <c r="E284" s="45" t="s">
        <v>15</v>
      </c>
      <c r="F284">
        <v>1</v>
      </c>
      <c r="G284" t="s">
        <v>305</v>
      </c>
      <c r="H284" s="4" t="s">
        <v>447</v>
      </c>
      <c r="I284">
        <v>1</v>
      </c>
      <c r="J284" t="s">
        <v>305</v>
      </c>
      <c r="K284" s="4" t="s">
        <v>448</v>
      </c>
      <c r="L284" s="41" t="s">
        <v>449</v>
      </c>
    </row>
    <row r="285" spans="1:12" x14ac:dyDescent="0.25">
      <c r="A285" s="43"/>
      <c r="B285" s="42"/>
      <c r="C285" s="43"/>
      <c r="D285" s="44"/>
      <c r="E285" s="45"/>
      <c r="F285">
        <f>0.000656*1.37*10^-2/897.6</f>
        <v>1.0012477718360072E-8</v>
      </c>
      <c r="G285" t="s">
        <v>6</v>
      </c>
      <c r="H285" s="4" t="s">
        <v>451</v>
      </c>
      <c r="I285">
        <f>0.000656*1.37*10^-2/897.6</f>
        <v>1.0012477718360072E-8</v>
      </c>
      <c r="J285" t="s">
        <v>6</v>
      </c>
      <c r="K285" s="4" t="s">
        <v>450</v>
      </c>
      <c r="L285" s="41"/>
    </row>
    <row r="286" spans="1:12" x14ac:dyDescent="0.25">
      <c r="A286" s="43"/>
      <c r="B286" s="42"/>
      <c r="C286" s="43"/>
      <c r="D286" s="44"/>
      <c r="E286" s="45"/>
      <c r="F286">
        <f>0.000656*1.98*10^-3/897.6</f>
        <v>1.4470588235294118E-9</v>
      </c>
      <c r="G286" t="s">
        <v>6</v>
      </c>
      <c r="H286" s="4" t="s">
        <v>453</v>
      </c>
      <c r="I286">
        <f>0.000656*1.98*10^-3/897.6</f>
        <v>1.4470588235294118E-9</v>
      </c>
      <c r="J286" t="s">
        <v>6</v>
      </c>
      <c r="K286" s="4" t="s">
        <v>452</v>
      </c>
      <c r="L286" s="41"/>
    </row>
    <row r="287" spans="1:12" x14ac:dyDescent="0.25">
      <c r="A287" s="43"/>
      <c r="B287" s="42"/>
      <c r="C287" s="43"/>
      <c r="D287" s="44"/>
      <c r="E287" s="45"/>
      <c r="F287">
        <f>0.000656*3.59*10^-3/897.6</f>
        <v>2.6237076648841356E-9</v>
      </c>
      <c r="G287" t="s">
        <v>6</v>
      </c>
      <c r="H287" s="4" t="s">
        <v>455</v>
      </c>
      <c r="I287">
        <f>0.000656*3.59*10^-3/897.6</f>
        <v>2.6237076648841356E-9</v>
      </c>
      <c r="J287" t="s">
        <v>6</v>
      </c>
      <c r="K287" s="4" t="s">
        <v>454</v>
      </c>
      <c r="L287" s="41"/>
    </row>
    <row r="288" spans="1:12" x14ac:dyDescent="0.25">
      <c r="A288" s="43"/>
      <c r="B288" s="42"/>
      <c r="C288" s="43"/>
      <c r="D288" s="44"/>
      <c r="E288" s="45"/>
      <c r="F288">
        <f>0.000581*3.59*10^-3/897.6</f>
        <v>2.3237410873440287E-9</v>
      </c>
      <c r="G288" t="s">
        <v>6</v>
      </c>
      <c r="H288" s="4" t="s">
        <v>456</v>
      </c>
      <c r="I288">
        <f>0.000581*3.59*10^-3/897.6</f>
        <v>2.3237410873440287E-9</v>
      </c>
      <c r="J288" t="s">
        <v>6</v>
      </c>
      <c r="K288" s="4" t="s">
        <v>454</v>
      </c>
      <c r="L288" s="41"/>
    </row>
    <row r="289" spans="1:12" x14ac:dyDescent="0.25">
      <c r="A289" s="43" t="s">
        <v>487</v>
      </c>
      <c r="B289" s="42" t="s">
        <v>428</v>
      </c>
      <c r="C289" s="43" t="s">
        <v>445</v>
      </c>
      <c r="D289" s="44">
        <v>41.4</v>
      </c>
      <c r="E289" s="45" t="s">
        <v>15</v>
      </c>
      <c r="F289">
        <v>1</v>
      </c>
      <c r="G289" t="s">
        <v>305</v>
      </c>
      <c r="H289" s="4" t="s">
        <v>476</v>
      </c>
      <c r="I289">
        <f>1.93*0.78</f>
        <v>1.5054000000000001</v>
      </c>
      <c r="J289" t="s">
        <v>10</v>
      </c>
      <c r="K289" s="4" t="s">
        <v>477</v>
      </c>
      <c r="L289" s="41" t="s">
        <v>449</v>
      </c>
    </row>
    <row r="290" spans="1:12" x14ac:dyDescent="0.25">
      <c r="A290" s="43"/>
      <c r="B290" s="42"/>
      <c r="C290" s="43"/>
      <c r="D290" s="44"/>
      <c r="E290" s="45"/>
      <c r="I290">
        <f>0.15*0.78</f>
        <v>0.11699999999999999</v>
      </c>
      <c r="J290" t="s">
        <v>15</v>
      </c>
      <c r="K290" s="4" t="s">
        <v>478</v>
      </c>
      <c r="L290" s="41"/>
    </row>
    <row r="291" spans="1:12" x14ac:dyDescent="0.25">
      <c r="A291" s="43"/>
      <c r="B291" s="42"/>
      <c r="C291" s="43"/>
      <c r="D291" s="44"/>
      <c r="E291" s="45"/>
      <c r="I291">
        <f>0.037*0.78</f>
        <v>2.886E-2</v>
      </c>
      <c r="J291" t="s">
        <v>294</v>
      </c>
      <c r="K291" s="4" t="s">
        <v>479</v>
      </c>
      <c r="L291" s="41"/>
    </row>
    <row r="292" spans="1:12" x14ac:dyDescent="0.25">
      <c r="A292" s="43"/>
      <c r="B292" s="42"/>
      <c r="C292" s="43"/>
      <c r="D292" s="44"/>
      <c r="E292" s="45"/>
      <c r="I292">
        <f>22.5*0.78</f>
        <v>17.55</v>
      </c>
      <c r="J292" t="s">
        <v>56</v>
      </c>
      <c r="K292" s="4" t="s">
        <v>480</v>
      </c>
      <c r="L292" s="41"/>
    </row>
    <row r="293" spans="1:12" x14ac:dyDescent="0.25">
      <c r="A293" s="43"/>
      <c r="B293" s="42"/>
      <c r="C293" s="43"/>
      <c r="D293" s="44"/>
      <c r="E293" s="45"/>
      <c r="I293">
        <f>0.0000000004*0.78</f>
        <v>3.1200000000000001E-10</v>
      </c>
      <c r="J293" t="s">
        <v>292</v>
      </c>
      <c r="K293" s="4" t="s">
        <v>481</v>
      </c>
      <c r="L293" s="41"/>
    </row>
    <row r="294" spans="1:12" x14ac:dyDescent="0.25">
      <c r="A294" s="43"/>
      <c r="B294" s="42"/>
      <c r="C294" s="43"/>
      <c r="D294" s="44"/>
      <c r="E294" s="45"/>
      <c r="I294">
        <f>11.8*0.78</f>
        <v>9.2040000000000006</v>
      </c>
      <c r="J294" t="s">
        <v>15</v>
      </c>
      <c r="K294" s="4" t="s">
        <v>482</v>
      </c>
      <c r="L294" s="41"/>
    </row>
    <row r="295" spans="1:12" x14ac:dyDescent="0.25">
      <c r="A295" s="43"/>
      <c r="B295" s="42"/>
      <c r="C295" s="43"/>
      <c r="D295" s="44"/>
      <c r="E295" s="45"/>
      <c r="I295">
        <f>0.78</f>
        <v>0.78</v>
      </c>
      <c r="J295" t="s">
        <v>6</v>
      </c>
      <c r="K295" s="4" t="s">
        <v>443</v>
      </c>
      <c r="L295" s="41"/>
    </row>
    <row r="296" spans="1:12" x14ac:dyDescent="0.25">
      <c r="A296" s="43"/>
      <c r="B296" s="42"/>
      <c r="C296" s="43"/>
      <c r="D296" s="44"/>
      <c r="E296" s="45"/>
      <c r="I296">
        <f>150/1000*0.78*0.3</f>
        <v>3.5099999999999999E-2</v>
      </c>
      <c r="J296" t="s">
        <v>15</v>
      </c>
      <c r="K296" s="4" t="s">
        <v>441</v>
      </c>
      <c r="L296" s="41"/>
    </row>
    <row r="297" spans="1:12" x14ac:dyDescent="0.25">
      <c r="A297" s="43"/>
      <c r="B297" s="42"/>
      <c r="C297" s="43"/>
      <c r="D297" s="44"/>
      <c r="E297" s="45"/>
      <c r="I297">
        <f>150/1000*0.78*0.7</f>
        <v>8.1899999999999987E-2</v>
      </c>
      <c r="J297" t="s">
        <v>15</v>
      </c>
      <c r="K297" s="4" t="s">
        <v>442</v>
      </c>
      <c r="L297" s="41"/>
    </row>
    <row r="298" spans="1:12" x14ac:dyDescent="0.25">
      <c r="A298" s="43"/>
      <c r="B298" s="42"/>
      <c r="C298" s="43"/>
      <c r="D298" s="44"/>
      <c r="E298" s="45"/>
      <c r="F298">
        <f>0.0008*0.0000157</f>
        <v>1.256E-8</v>
      </c>
      <c r="G298" t="s">
        <v>6</v>
      </c>
      <c r="H298" s="4" t="s">
        <v>460</v>
      </c>
      <c r="I298">
        <f>0.0008*0.0000157</f>
        <v>1.256E-8</v>
      </c>
      <c r="J298" t="s">
        <v>6</v>
      </c>
      <c r="K298" s="4" t="s">
        <v>457</v>
      </c>
      <c r="L298" s="41"/>
    </row>
    <row r="299" spans="1:12" x14ac:dyDescent="0.25">
      <c r="A299" s="43"/>
      <c r="B299" s="42"/>
      <c r="C299" s="43"/>
      <c r="D299" s="44"/>
      <c r="E299" s="45"/>
      <c r="F299">
        <f>0.0004*0.0000157</f>
        <v>6.2799999999999998E-9</v>
      </c>
      <c r="G299" t="s">
        <v>6</v>
      </c>
      <c r="H299" s="4" t="s">
        <v>459</v>
      </c>
      <c r="I299">
        <f>0.0004*0.0000157</f>
        <v>6.2799999999999998E-9</v>
      </c>
      <c r="J299" t="s">
        <v>6</v>
      </c>
      <c r="K299" s="4" t="s">
        <v>458</v>
      </c>
      <c r="L299" s="41"/>
    </row>
    <row r="300" spans="1:12" x14ac:dyDescent="0.25">
      <c r="A300" s="43"/>
      <c r="B300" s="42"/>
      <c r="C300" s="43"/>
      <c r="D300" s="44"/>
      <c r="E300" s="45"/>
      <c r="F300">
        <f>0.0676*0.0000157</f>
        <v>1.0613199999999998E-6</v>
      </c>
      <c r="G300" t="s">
        <v>6</v>
      </c>
      <c r="H300" s="4" t="s">
        <v>461</v>
      </c>
      <c r="I300">
        <f>0.0676*0.0000157</f>
        <v>1.0613199999999998E-6</v>
      </c>
      <c r="J300" t="s">
        <v>6</v>
      </c>
      <c r="K300" s="4" t="s">
        <v>462</v>
      </c>
      <c r="L300" s="41"/>
    </row>
    <row r="301" spans="1:12" x14ac:dyDescent="0.25">
      <c r="A301" s="43"/>
      <c r="B301" s="42"/>
      <c r="C301" s="43"/>
      <c r="D301" s="44"/>
      <c r="E301" s="45"/>
      <c r="F301" s="38">
        <v>2.4500000000000001E-8</v>
      </c>
      <c r="G301" t="s">
        <v>6</v>
      </c>
      <c r="H301" s="4" t="s">
        <v>459</v>
      </c>
      <c r="I301" s="38">
        <v>2.4500000000000001E-8</v>
      </c>
      <c r="J301" t="s">
        <v>6</v>
      </c>
      <c r="K301" s="4" t="s">
        <v>458</v>
      </c>
      <c r="L301" s="41"/>
    </row>
    <row r="302" spans="1:12" x14ac:dyDescent="0.25">
      <c r="A302" s="43"/>
      <c r="B302" s="42"/>
      <c r="C302" s="43"/>
      <c r="D302" s="44"/>
      <c r="E302" s="45"/>
      <c r="F302">
        <f>0.0008*0.00000228</f>
        <v>1.8240000000000003E-9</v>
      </c>
      <c r="G302" t="s">
        <v>6</v>
      </c>
      <c r="H302" s="4" t="s">
        <v>466</v>
      </c>
      <c r="I302">
        <f>0.0008*0.00000228</f>
        <v>1.8240000000000003E-9</v>
      </c>
      <c r="J302" t="s">
        <v>6</v>
      </c>
      <c r="K302" s="4" t="s">
        <v>463</v>
      </c>
      <c r="L302" s="41"/>
    </row>
    <row r="303" spans="1:12" x14ac:dyDescent="0.25">
      <c r="A303" s="43"/>
      <c r="B303" s="42"/>
      <c r="C303" s="43"/>
      <c r="D303" s="44"/>
      <c r="E303" s="45"/>
      <c r="F303">
        <f>0.0004*0.00000228</f>
        <v>9.1200000000000016E-10</v>
      </c>
      <c r="G303" t="s">
        <v>6</v>
      </c>
      <c r="H303" s="4" t="s">
        <v>467</v>
      </c>
      <c r="I303">
        <f>0.0004*0.00000228</f>
        <v>9.1200000000000016E-10</v>
      </c>
      <c r="J303" t="s">
        <v>6</v>
      </c>
      <c r="K303" s="4" t="s">
        <v>464</v>
      </c>
      <c r="L303" s="41"/>
    </row>
    <row r="304" spans="1:12" x14ac:dyDescent="0.25">
      <c r="A304" s="43"/>
      <c r="B304" s="42"/>
      <c r="C304" s="43"/>
      <c r="D304" s="44"/>
      <c r="E304" s="45"/>
      <c r="F304">
        <f>0.0676*0.00000228</f>
        <v>1.5412799999999999E-7</v>
      </c>
      <c r="G304" t="s">
        <v>6</v>
      </c>
      <c r="H304" s="4" t="s">
        <v>468</v>
      </c>
      <c r="I304">
        <f>0.0676*0.00000228</f>
        <v>1.5412799999999999E-7</v>
      </c>
      <c r="J304" t="s">
        <v>6</v>
      </c>
      <c r="K304" s="4" t="s">
        <v>465</v>
      </c>
      <c r="L304" s="41"/>
    </row>
    <row r="305" spans="1:12" x14ac:dyDescent="0.25">
      <c r="A305" s="43"/>
      <c r="B305" s="42"/>
      <c r="C305" s="43"/>
      <c r="D305" s="44"/>
      <c r="E305" s="45"/>
      <c r="F305">
        <f>0.0008*0.00000414</f>
        <v>3.3120000000000001E-9</v>
      </c>
      <c r="G305" t="s">
        <v>6</v>
      </c>
      <c r="H305" s="4" t="s">
        <v>469</v>
      </c>
      <c r="I305">
        <f>0.0008*0.00000414</f>
        <v>3.3120000000000001E-9</v>
      </c>
      <c r="J305" t="s">
        <v>6</v>
      </c>
      <c r="K305" s="4" t="s">
        <v>470</v>
      </c>
      <c r="L305" s="41"/>
    </row>
    <row r="306" spans="1:12" x14ac:dyDescent="0.25">
      <c r="A306" s="43"/>
      <c r="B306" s="42"/>
      <c r="C306" s="43"/>
      <c r="D306" s="44"/>
      <c r="E306" s="45"/>
      <c r="F306">
        <f>0.0004*0.00000414</f>
        <v>1.6560000000000001E-9</v>
      </c>
      <c r="G306" t="s">
        <v>6</v>
      </c>
      <c r="H306" s="4" t="s">
        <v>471</v>
      </c>
      <c r="I306">
        <f>0.0004*0.00000414</f>
        <v>1.6560000000000001E-9</v>
      </c>
      <c r="J306" t="s">
        <v>6</v>
      </c>
      <c r="K306" s="4" t="s">
        <v>472</v>
      </c>
      <c r="L306" s="41"/>
    </row>
    <row r="307" spans="1:12" x14ac:dyDescent="0.25">
      <c r="A307" s="43"/>
      <c r="B307" s="42"/>
      <c r="C307" s="43"/>
      <c r="D307" s="44"/>
      <c r="E307" s="45"/>
      <c r="F307">
        <f>0.0676*0.00000414</f>
        <v>2.7986399999999997E-7</v>
      </c>
      <c r="G307" t="s">
        <v>6</v>
      </c>
      <c r="H307" s="4" t="s">
        <v>473</v>
      </c>
      <c r="I307">
        <f>0.0676*0.00000414</f>
        <v>2.7986399999999997E-7</v>
      </c>
      <c r="J307" t="s">
        <v>6</v>
      </c>
      <c r="K307" s="4" t="s">
        <v>474</v>
      </c>
      <c r="L307" s="41"/>
    </row>
    <row r="308" spans="1:12" x14ac:dyDescent="0.25">
      <c r="A308" s="43"/>
      <c r="B308" s="42"/>
      <c r="C308" s="43"/>
      <c r="D308" s="44"/>
      <c r="E308" s="45"/>
      <c r="F308">
        <f>0.000656*0.0000157</f>
        <v>1.0299199999999999E-8</v>
      </c>
      <c r="G308" t="s">
        <v>6</v>
      </c>
      <c r="H308" s="4" t="s">
        <v>451</v>
      </c>
      <c r="I308">
        <f>0.000656*0.0000157</f>
        <v>1.0299199999999999E-8</v>
      </c>
      <c r="J308" t="s">
        <v>6</v>
      </c>
      <c r="K308" s="4" t="s">
        <v>450</v>
      </c>
      <c r="L308" s="41"/>
    </row>
    <row r="309" spans="1:12" x14ac:dyDescent="0.25">
      <c r="A309" s="43"/>
      <c r="B309" s="42"/>
      <c r="C309" s="43"/>
      <c r="D309" s="44"/>
      <c r="E309" s="45"/>
      <c r="F309">
        <f>0.000656*0.00000228</f>
        <v>1.4956800000000002E-9</v>
      </c>
      <c r="G309" t="s">
        <v>6</v>
      </c>
      <c r="H309" s="4" t="s">
        <v>453</v>
      </c>
      <c r="I309">
        <f>0.000656*0.00000228</f>
        <v>1.4956800000000002E-9</v>
      </c>
      <c r="J309" t="s">
        <v>6</v>
      </c>
      <c r="K309" s="4" t="s">
        <v>452</v>
      </c>
      <c r="L309" s="41"/>
    </row>
    <row r="310" spans="1:12" x14ac:dyDescent="0.25">
      <c r="A310" s="43"/>
      <c r="B310" s="42"/>
      <c r="C310" s="43"/>
      <c r="D310" s="44"/>
      <c r="E310" s="45"/>
      <c r="F310">
        <f>0.000656*0.00000414</f>
        <v>2.71584E-9</v>
      </c>
      <c r="G310" t="s">
        <v>6</v>
      </c>
      <c r="H310" s="4" t="s">
        <v>455</v>
      </c>
      <c r="I310">
        <f>0.000656*0.00000414</f>
        <v>2.71584E-9</v>
      </c>
      <c r="J310" t="s">
        <v>6</v>
      </c>
      <c r="K310" s="4" t="s">
        <v>454</v>
      </c>
      <c r="L310" s="41"/>
    </row>
    <row r="311" spans="1:12" x14ac:dyDescent="0.25">
      <c r="A311" s="43"/>
      <c r="B311" s="42"/>
      <c r="C311" s="43"/>
      <c r="D311" s="44"/>
      <c r="E311" s="45"/>
      <c r="F311">
        <f>0.000581*0.00000414</f>
        <v>2.4053400000000003E-9</v>
      </c>
      <c r="G311" t="s">
        <v>6</v>
      </c>
      <c r="H311" s="4" t="s">
        <v>456</v>
      </c>
      <c r="I311">
        <f>0.000581*0.00000414</f>
        <v>2.4053400000000003E-9</v>
      </c>
      <c r="J311" t="s">
        <v>6</v>
      </c>
      <c r="K311" s="4" t="s">
        <v>454</v>
      </c>
      <c r="L311" s="41"/>
    </row>
    <row r="312" spans="1:12" x14ac:dyDescent="0.25">
      <c r="A312" s="43" t="s">
        <v>488</v>
      </c>
      <c r="B312" s="42" t="s">
        <v>428</v>
      </c>
      <c r="C312" s="43" t="s">
        <v>445</v>
      </c>
      <c r="D312" s="44">
        <v>41.7</v>
      </c>
      <c r="E312" s="45" t="s">
        <v>15</v>
      </c>
      <c r="F312">
        <v>1</v>
      </c>
      <c r="G312" t="s">
        <v>305</v>
      </c>
      <c r="H312" s="4" t="s">
        <v>483</v>
      </c>
      <c r="I312">
        <v>1</v>
      </c>
      <c r="J312" t="s">
        <v>305</v>
      </c>
      <c r="K312" s="4" t="s">
        <v>484</v>
      </c>
      <c r="L312" s="41" t="s">
        <v>449</v>
      </c>
    </row>
    <row r="313" spans="1:12" x14ac:dyDescent="0.25">
      <c r="A313" s="43"/>
      <c r="B313" s="42"/>
      <c r="C313" s="43"/>
      <c r="D313" s="44"/>
      <c r="E313" s="45"/>
      <c r="F313">
        <f>0.000656*1.42*10^-2/897.6</f>
        <v>1.037789661319073E-8</v>
      </c>
      <c r="G313" t="s">
        <v>6</v>
      </c>
      <c r="H313" s="4" t="s">
        <v>451</v>
      </c>
      <c r="I313">
        <f>0.000656*1.42*10^-2/897.6</f>
        <v>1.037789661319073E-8</v>
      </c>
      <c r="J313" t="s">
        <v>6</v>
      </c>
      <c r="K313" s="4" t="s">
        <v>450</v>
      </c>
      <c r="L313" s="41"/>
    </row>
    <row r="314" spans="1:12" x14ac:dyDescent="0.25">
      <c r="A314" s="43"/>
      <c r="B314" s="42"/>
      <c r="C314" s="43"/>
      <c r="D314" s="44"/>
      <c r="E314" s="45"/>
      <c r="F314">
        <f>0.000656*2.06*10^-3/897.6</f>
        <v>1.5055258467023173E-9</v>
      </c>
      <c r="G314" t="s">
        <v>6</v>
      </c>
      <c r="H314" s="4" t="s">
        <v>453</v>
      </c>
      <c r="I314">
        <f>0.000656*2.06*10^-3/897.6</f>
        <v>1.5055258467023173E-9</v>
      </c>
      <c r="J314" t="s">
        <v>6</v>
      </c>
      <c r="K314" s="4" t="s">
        <v>452</v>
      </c>
      <c r="L314" s="41"/>
    </row>
    <row r="315" spans="1:12" x14ac:dyDescent="0.25">
      <c r="A315" s="43"/>
      <c r="B315" s="42"/>
      <c r="C315" s="43"/>
      <c r="D315" s="44"/>
      <c r="E315" s="45"/>
      <c r="F315">
        <f>0.000656*3.75*10^-3/897.6</f>
        <v>2.7406417112299466E-9</v>
      </c>
      <c r="G315" t="s">
        <v>6</v>
      </c>
      <c r="H315" s="4" t="s">
        <v>455</v>
      </c>
      <c r="I315">
        <f>0.000656*3.75*10^-3/897.6</f>
        <v>2.7406417112299466E-9</v>
      </c>
      <c r="J315" t="s">
        <v>6</v>
      </c>
      <c r="K315" s="4" t="s">
        <v>454</v>
      </c>
      <c r="L315" s="41"/>
    </row>
    <row r="316" spans="1:12" x14ac:dyDescent="0.25">
      <c r="A316" s="43"/>
      <c r="B316" s="42"/>
      <c r="C316" s="43"/>
      <c r="D316" s="44"/>
      <c r="E316" s="45"/>
      <c r="F316">
        <f>0.000581*3.75*10^-3/897.6</f>
        <v>2.4273061497326205E-9</v>
      </c>
      <c r="G316" t="s">
        <v>6</v>
      </c>
      <c r="H316" s="4" t="s">
        <v>456</v>
      </c>
      <c r="I316">
        <f>0.000581*3.75*10^-3/897.6</f>
        <v>2.4273061497326205E-9</v>
      </c>
      <c r="J316" t="s">
        <v>6</v>
      </c>
      <c r="K316" s="4" t="s">
        <v>454</v>
      </c>
      <c r="L316" s="41"/>
    </row>
    <row r="317" spans="1:12" x14ac:dyDescent="0.25">
      <c r="A317" s="46" t="s">
        <v>295</v>
      </c>
      <c r="B317" s="42" t="s">
        <v>428</v>
      </c>
      <c r="C317" s="43" t="s">
        <v>445</v>
      </c>
      <c r="D317" s="44">
        <v>1</v>
      </c>
      <c r="E317" s="45" t="s">
        <v>305</v>
      </c>
      <c r="F317">
        <v>1</v>
      </c>
      <c r="G317" t="s">
        <v>305</v>
      </c>
      <c r="H317" s="4" t="s">
        <v>341</v>
      </c>
      <c r="I317">
        <v>1</v>
      </c>
      <c r="J317" t="s">
        <v>305</v>
      </c>
      <c r="K317" s="4" t="s">
        <v>489</v>
      </c>
      <c r="L317" s="41" t="s">
        <v>449</v>
      </c>
    </row>
    <row r="318" spans="1:12" x14ac:dyDescent="0.25">
      <c r="A318" s="46"/>
      <c r="B318" s="42"/>
      <c r="C318" s="43"/>
      <c r="D318" s="44"/>
      <c r="E318" s="45"/>
      <c r="F318" s="38">
        <v>9.9800000000000007E-9</v>
      </c>
      <c r="G318" t="s">
        <v>6</v>
      </c>
      <c r="H318" s="4" t="s">
        <v>459</v>
      </c>
      <c r="I318" s="38">
        <v>9.9800000000000007E-9</v>
      </c>
      <c r="J318" t="s">
        <v>6</v>
      </c>
      <c r="K318" s="4" t="s">
        <v>458</v>
      </c>
      <c r="L318" s="41"/>
    </row>
    <row r="319" spans="1:12" ht="15" customHeight="1" x14ac:dyDescent="0.25">
      <c r="A319" s="20" t="s">
        <v>490</v>
      </c>
      <c r="B319" s="22" t="s">
        <v>428</v>
      </c>
      <c r="C319" s="5" t="s">
        <v>445</v>
      </c>
      <c r="D319" s="57">
        <v>1</v>
      </c>
      <c r="E319" s="58" t="s">
        <v>305</v>
      </c>
      <c r="F319">
        <v>1</v>
      </c>
      <c r="G319" t="s">
        <v>305</v>
      </c>
      <c r="H319" s="4" t="s">
        <v>447</v>
      </c>
      <c r="I319">
        <v>1</v>
      </c>
      <c r="J319" t="s">
        <v>305</v>
      </c>
      <c r="K319" s="4" t="s">
        <v>448</v>
      </c>
      <c r="L319" s="14" t="s">
        <v>449</v>
      </c>
    </row>
    <row r="320" spans="1:12" x14ac:dyDescent="0.25">
      <c r="A320" s="46" t="s">
        <v>491</v>
      </c>
      <c r="B320" s="42" t="s">
        <v>428</v>
      </c>
      <c r="C320" s="43" t="s">
        <v>445</v>
      </c>
      <c r="D320" s="44">
        <v>1</v>
      </c>
      <c r="E320" s="45" t="s">
        <v>305</v>
      </c>
      <c r="F320">
        <v>1</v>
      </c>
      <c r="G320" t="s">
        <v>305</v>
      </c>
      <c r="H320" s="4" t="s">
        <v>476</v>
      </c>
      <c r="I320">
        <v>1</v>
      </c>
      <c r="J320" t="s">
        <v>305</v>
      </c>
      <c r="K320" s="4" t="s">
        <v>492</v>
      </c>
      <c r="L320" s="41" t="s">
        <v>449</v>
      </c>
    </row>
    <row r="321" spans="1:12" x14ac:dyDescent="0.25">
      <c r="A321" s="46"/>
      <c r="B321" s="42"/>
      <c r="C321" s="43"/>
      <c r="D321" s="44"/>
      <c r="E321" s="45"/>
      <c r="F321" s="38">
        <v>9.7599999999999994E-9</v>
      </c>
      <c r="G321" t="s">
        <v>6</v>
      </c>
      <c r="H321" s="4" t="s">
        <v>459</v>
      </c>
      <c r="I321" s="38">
        <v>9.7599999999999994E-9</v>
      </c>
      <c r="J321" t="s">
        <v>6</v>
      </c>
      <c r="K321" s="4" t="s">
        <v>458</v>
      </c>
      <c r="L321" s="41"/>
    </row>
    <row r="322" spans="1:12" ht="19.5" customHeight="1" x14ac:dyDescent="0.25">
      <c r="A322" s="20" t="s">
        <v>493</v>
      </c>
      <c r="B322" s="22" t="s">
        <v>428</v>
      </c>
      <c r="C322" s="5" t="s">
        <v>445</v>
      </c>
      <c r="D322" s="57">
        <v>1</v>
      </c>
      <c r="E322" s="58" t="s">
        <v>305</v>
      </c>
      <c r="F322">
        <v>1</v>
      </c>
      <c r="G322" t="s">
        <v>305</v>
      </c>
      <c r="H322" s="4" t="s">
        <v>483</v>
      </c>
      <c r="I322">
        <v>1</v>
      </c>
      <c r="J322" t="s">
        <v>305</v>
      </c>
      <c r="K322" s="4" t="s">
        <v>484</v>
      </c>
      <c r="L322" s="14" t="s">
        <v>449</v>
      </c>
    </row>
    <row r="323" spans="1:12" ht="17.25" customHeight="1" x14ac:dyDescent="0.25">
      <c r="A323" s="20" t="s">
        <v>494</v>
      </c>
      <c r="B323" s="22" t="s">
        <v>428</v>
      </c>
      <c r="C323" s="5" t="s">
        <v>445</v>
      </c>
      <c r="D323" s="57">
        <v>1</v>
      </c>
      <c r="E323" s="58" t="s">
        <v>305</v>
      </c>
      <c r="F323">
        <v>1</v>
      </c>
      <c r="G323" t="s">
        <v>305</v>
      </c>
      <c r="H323" s="4" t="s">
        <v>447</v>
      </c>
      <c r="I323">
        <v>1</v>
      </c>
      <c r="J323" t="s">
        <v>305</v>
      </c>
      <c r="K323" s="4" t="s">
        <v>448</v>
      </c>
      <c r="L323" s="14" t="s">
        <v>449</v>
      </c>
    </row>
    <row r="324" spans="1:12" x14ac:dyDescent="0.25">
      <c r="A324" s="46" t="s">
        <v>495</v>
      </c>
      <c r="B324" s="42" t="s">
        <v>428</v>
      </c>
      <c r="C324" s="43" t="s">
        <v>445</v>
      </c>
      <c r="D324" s="44">
        <v>1</v>
      </c>
      <c r="E324" s="45" t="s">
        <v>305</v>
      </c>
      <c r="F324">
        <v>1</v>
      </c>
      <c r="G324" t="s">
        <v>305</v>
      </c>
      <c r="H324" s="4" t="s">
        <v>341</v>
      </c>
      <c r="I324">
        <v>1</v>
      </c>
      <c r="J324" t="s">
        <v>305</v>
      </c>
      <c r="K324" s="4" t="s">
        <v>489</v>
      </c>
      <c r="L324" s="41" t="s">
        <v>449</v>
      </c>
    </row>
    <row r="325" spans="1:12" x14ac:dyDescent="0.25">
      <c r="A325" s="46"/>
      <c r="B325" s="42"/>
      <c r="C325" s="43"/>
      <c r="D325" s="44"/>
      <c r="E325" s="45"/>
      <c r="F325" s="38">
        <v>9.9800000000000007E-9</v>
      </c>
      <c r="G325" t="s">
        <v>6</v>
      </c>
      <c r="H325" s="4" t="s">
        <v>459</v>
      </c>
      <c r="I325" s="38">
        <v>9.9800000000000007E-9</v>
      </c>
      <c r="J325" t="s">
        <v>6</v>
      </c>
      <c r="K325" s="4" t="s">
        <v>458</v>
      </c>
      <c r="L325" s="41"/>
    </row>
    <row r="326" spans="1:12" x14ac:dyDescent="0.25">
      <c r="A326" s="46" t="s">
        <v>496</v>
      </c>
      <c r="B326" s="42" t="s">
        <v>428</v>
      </c>
      <c r="C326" s="43" t="s">
        <v>445</v>
      </c>
      <c r="D326" s="44">
        <v>1</v>
      </c>
      <c r="E326" s="45" t="s">
        <v>305</v>
      </c>
      <c r="F326">
        <v>1</v>
      </c>
      <c r="G326" t="s">
        <v>305</v>
      </c>
      <c r="H326" s="4" t="s">
        <v>476</v>
      </c>
      <c r="I326">
        <v>1</v>
      </c>
      <c r="J326" t="s">
        <v>305</v>
      </c>
      <c r="K326" s="4" t="s">
        <v>492</v>
      </c>
      <c r="L326" s="41" t="s">
        <v>449</v>
      </c>
    </row>
    <row r="327" spans="1:12" x14ac:dyDescent="0.25">
      <c r="A327" s="46"/>
      <c r="B327" s="42"/>
      <c r="C327" s="43"/>
      <c r="D327" s="44"/>
      <c r="E327" s="45"/>
      <c r="F327" s="38">
        <v>9.7599999999999994E-9</v>
      </c>
      <c r="G327" t="s">
        <v>6</v>
      </c>
      <c r="H327" s="4" t="s">
        <v>459</v>
      </c>
      <c r="I327" s="38">
        <v>9.7599999999999994E-9</v>
      </c>
      <c r="J327" t="s">
        <v>6</v>
      </c>
      <c r="K327" s="4" t="s">
        <v>458</v>
      </c>
      <c r="L327" s="41"/>
    </row>
    <row r="328" spans="1:12" ht="17.25" customHeight="1" x14ac:dyDescent="0.25">
      <c r="A328" s="20" t="s">
        <v>497</v>
      </c>
      <c r="B328" s="22" t="s">
        <v>428</v>
      </c>
      <c r="C328" s="5" t="s">
        <v>445</v>
      </c>
      <c r="D328" s="57">
        <v>1</v>
      </c>
      <c r="E328" s="58" t="s">
        <v>305</v>
      </c>
      <c r="F328">
        <v>1</v>
      </c>
      <c r="G328" t="s">
        <v>305</v>
      </c>
      <c r="H328" s="4" t="s">
        <v>483</v>
      </c>
      <c r="I328">
        <v>1</v>
      </c>
      <c r="J328" t="s">
        <v>305</v>
      </c>
      <c r="K328" s="4" t="s">
        <v>484</v>
      </c>
      <c r="L328" s="14" t="s">
        <v>449</v>
      </c>
    </row>
    <row r="329" spans="1:12" ht="18" customHeight="1" x14ac:dyDescent="0.25">
      <c r="A329" s="20" t="s">
        <v>498</v>
      </c>
      <c r="B329" s="22" t="s">
        <v>428</v>
      </c>
      <c r="C329" s="5" t="s">
        <v>445</v>
      </c>
      <c r="D329" s="57">
        <v>1</v>
      </c>
      <c r="E329" s="58" t="s">
        <v>305</v>
      </c>
      <c r="F329">
        <v>1</v>
      </c>
      <c r="G329" t="s">
        <v>305</v>
      </c>
      <c r="H329" s="4" t="s">
        <v>447</v>
      </c>
      <c r="I329">
        <v>1</v>
      </c>
      <c r="J329" t="s">
        <v>305</v>
      </c>
      <c r="K329" s="4" t="s">
        <v>448</v>
      </c>
      <c r="L329" s="14" t="s">
        <v>449</v>
      </c>
    </row>
    <row r="330" spans="1:12" x14ac:dyDescent="0.25">
      <c r="A330" s="46" t="s">
        <v>499</v>
      </c>
      <c r="B330" s="42" t="s">
        <v>428</v>
      </c>
      <c r="C330" s="43" t="s">
        <v>445</v>
      </c>
      <c r="D330" s="44">
        <v>1</v>
      </c>
      <c r="E330" s="45" t="s">
        <v>305</v>
      </c>
      <c r="F330">
        <v>1</v>
      </c>
      <c r="G330" t="s">
        <v>305</v>
      </c>
      <c r="H330" s="4" t="s">
        <v>341</v>
      </c>
      <c r="I330">
        <v>1</v>
      </c>
      <c r="J330" t="s">
        <v>305</v>
      </c>
      <c r="K330" s="4" t="s">
        <v>489</v>
      </c>
      <c r="L330" s="41" t="s">
        <v>449</v>
      </c>
    </row>
    <row r="331" spans="1:12" x14ac:dyDescent="0.25">
      <c r="A331" s="46"/>
      <c r="B331" s="42"/>
      <c r="C331" s="43"/>
      <c r="D331" s="44"/>
      <c r="E331" s="45"/>
      <c r="F331" s="38">
        <v>9.9800000000000007E-9</v>
      </c>
      <c r="G331" t="s">
        <v>6</v>
      </c>
      <c r="H331" s="4" t="s">
        <v>459</v>
      </c>
      <c r="I331" s="38">
        <v>9.9800000000000007E-9</v>
      </c>
      <c r="J331" t="s">
        <v>6</v>
      </c>
      <c r="K331" s="4" t="s">
        <v>458</v>
      </c>
      <c r="L331" s="41"/>
    </row>
    <row r="332" spans="1:12" x14ac:dyDescent="0.25">
      <c r="A332" s="46" t="s">
        <v>500</v>
      </c>
      <c r="B332" s="42" t="s">
        <v>428</v>
      </c>
      <c r="C332" s="43" t="s">
        <v>445</v>
      </c>
      <c r="D332" s="44">
        <v>1</v>
      </c>
      <c r="E332" s="45" t="s">
        <v>305</v>
      </c>
      <c r="F332">
        <v>1</v>
      </c>
      <c r="G332" t="s">
        <v>305</v>
      </c>
      <c r="H332" s="4" t="s">
        <v>476</v>
      </c>
      <c r="I332">
        <v>1</v>
      </c>
      <c r="J332" t="s">
        <v>305</v>
      </c>
      <c r="K332" s="4" t="s">
        <v>492</v>
      </c>
      <c r="L332" s="41" t="s">
        <v>449</v>
      </c>
    </row>
    <row r="333" spans="1:12" x14ac:dyDescent="0.25">
      <c r="A333" s="46"/>
      <c r="B333" s="42"/>
      <c r="C333" s="43"/>
      <c r="D333" s="44"/>
      <c r="E333" s="45"/>
      <c r="F333" s="38">
        <v>9.7599999999999994E-9</v>
      </c>
      <c r="G333" t="s">
        <v>6</v>
      </c>
      <c r="H333" s="4" t="s">
        <v>459</v>
      </c>
      <c r="I333" s="38">
        <v>9.7599999999999994E-9</v>
      </c>
      <c r="J333" t="s">
        <v>6</v>
      </c>
      <c r="K333" s="4" t="s">
        <v>458</v>
      </c>
      <c r="L333" s="41"/>
    </row>
    <row r="334" spans="1:12" ht="17.25" customHeight="1" x14ac:dyDescent="0.25">
      <c r="A334" s="20" t="s">
        <v>501</v>
      </c>
      <c r="B334" s="22" t="s">
        <v>428</v>
      </c>
      <c r="C334" s="5" t="s">
        <v>445</v>
      </c>
      <c r="D334" s="57">
        <v>1</v>
      </c>
      <c r="E334" s="58" t="s">
        <v>305</v>
      </c>
      <c r="F334">
        <v>1</v>
      </c>
      <c r="G334" t="s">
        <v>305</v>
      </c>
      <c r="H334" s="4" t="s">
        <v>483</v>
      </c>
      <c r="I334">
        <v>1</v>
      </c>
      <c r="J334" t="s">
        <v>305</v>
      </c>
      <c r="K334" s="4" t="s">
        <v>484</v>
      </c>
      <c r="L334" s="14" t="s">
        <v>449</v>
      </c>
    </row>
    <row r="335" spans="1:12" x14ac:dyDescent="0.25">
      <c r="A335" s="20" t="s">
        <v>502</v>
      </c>
      <c r="B335" s="17" t="s">
        <v>428</v>
      </c>
      <c r="C335" s="20" t="s">
        <v>503</v>
      </c>
      <c r="D335" s="40">
        <v>1</v>
      </c>
      <c r="E335" s="7" t="s">
        <v>294</v>
      </c>
      <c r="F335">
        <f>1/(263*1000/0.765)</f>
        <v>2.9087452471482889E-6</v>
      </c>
      <c r="G335" t="s">
        <v>292</v>
      </c>
      <c r="H335" s="4" t="s">
        <v>504</v>
      </c>
      <c r="I335">
        <f>1/(263*1000/0.765)</f>
        <v>2.9087452471482889E-6</v>
      </c>
      <c r="J335" t="s">
        <v>292</v>
      </c>
      <c r="K335" s="4" t="s">
        <v>505</v>
      </c>
      <c r="L335" s="34" t="s">
        <v>506</v>
      </c>
    </row>
    <row r="336" spans="1:12" x14ac:dyDescent="0.25">
      <c r="A336" s="20" t="s">
        <v>507</v>
      </c>
      <c r="B336" s="17" t="s">
        <v>428</v>
      </c>
      <c r="C336" s="20" t="s">
        <v>503</v>
      </c>
      <c r="D336" s="40">
        <v>1</v>
      </c>
      <c r="E336" s="7" t="s">
        <v>294</v>
      </c>
      <c r="F336">
        <f>1/(263*1000/0.765)</f>
        <v>2.9087452471482889E-6</v>
      </c>
      <c r="G336" t="s">
        <v>292</v>
      </c>
      <c r="H336" s="4" t="s">
        <v>504</v>
      </c>
      <c r="I336">
        <f>1/(263*1000/0.765)</f>
        <v>2.9087452471482889E-6</v>
      </c>
      <c r="J336" t="s">
        <v>292</v>
      </c>
      <c r="K336" s="4" t="s">
        <v>505</v>
      </c>
      <c r="L336" s="34" t="s">
        <v>506</v>
      </c>
    </row>
    <row r="337" spans="1:12" ht="30" customHeight="1" x14ac:dyDescent="0.25">
      <c r="A337" s="46" t="s">
        <v>508</v>
      </c>
      <c r="B337" s="42" t="s">
        <v>428</v>
      </c>
      <c r="C337" s="46" t="s">
        <v>503</v>
      </c>
      <c r="D337" s="44">
        <v>1</v>
      </c>
      <c r="E337" s="45" t="s">
        <v>15</v>
      </c>
      <c r="F337">
        <f>0.00000419*(1-0.238)/43.4</f>
        <v>7.3566359447004608E-8</v>
      </c>
      <c r="G337" t="s">
        <v>292</v>
      </c>
      <c r="H337" s="4" t="s">
        <v>509</v>
      </c>
      <c r="L337" s="41" t="s">
        <v>510</v>
      </c>
    </row>
    <row r="338" spans="1:12" x14ac:dyDescent="0.25">
      <c r="A338" s="46"/>
      <c r="B338" s="42"/>
      <c r="C338" s="46"/>
      <c r="D338" s="44"/>
      <c r="E338" s="45"/>
      <c r="F338">
        <f>0.0008*0.0000165*0.00127087</f>
        <v>1.6775484000000003E-11</v>
      </c>
      <c r="G338" t="s">
        <v>6</v>
      </c>
      <c r="H338" s="4" t="s">
        <v>460</v>
      </c>
      <c r="I338">
        <f>0.0008*0.0000165*0.00127087</f>
        <v>1.6775484000000003E-11</v>
      </c>
      <c r="J338" t="s">
        <v>6</v>
      </c>
      <c r="K338" s="4" t="s">
        <v>457</v>
      </c>
      <c r="L338" s="41"/>
    </row>
    <row r="339" spans="1:12" x14ac:dyDescent="0.25">
      <c r="A339" s="46"/>
      <c r="B339" s="42"/>
      <c r="C339" s="46"/>
      <c r="D339" s="44"/>
      <c r="E339" s="45"/>
      <c r="F339">
        <f>0.0004*0.0000165*0.00127087</f>
        <v>8.3877420000000015E-12</v>
      </c>
      <c r="G339" t="s">
        <v>6</v>
      </c>
      <c r="H339" s="4" t="s">
        <v>459</v>
      </c>
      <c r="I339">
        <f>0.0004*0.0000165*0.00127087</f>
        <v>8.3877420000000015E-12</v>
      </c>
      <c r="J339" t="s">
        <v>6</v>
      </c>
      <c r="K339" s="4" t="s">
        <v>458</v>
      </c>
      <c r="L339" s="41"/>
    </row>
    <row r="340" spans="1:12" x14ac:dyDescent="0.25">
      <c r="A340" s="46"/>
      <c r="B340" s="42"/>
      <c r="C340" s="46"/>
      <c r="D340" s="44"/>
      <c r="E340" s="45"/>
      <c r="F340">
        <f>0.0676*0.0000165*0.00127087</f>
        <v>1.4175283979999998E-9</v>
      </c>
      <c r="G340" t="s">
        <v>6</v>
      </c>
      <c r="H340" s="4" t="s">
        <v>461</v>
      </c>
      <c r="I340">
        <f>0.0676*0.0000165*0.00127087</f>
        <v>1.4175283979999998E-9</v>
      </c>
      <c r="J340" t="s">
        <v>6</v>
      </c>
      <c r="K340" s="4" t="s">
        <v>462</v>
      </c>
      <c r="L340" s="41"/>
    </row>
    <row r="341" spans="1:12" x14ac:dyDescent="0.25">
      <c r="A341" s="46"/>
      <c r="B341" s="42"/>
      <c r="C341" s="46"/>
      <c r="D341" s="44"/>
      <c r="E341" s="45"/>
      <c r="F341">
        <f>0.0008*0.00000238*0.00127087</f>
        <v>2.4197364799999998E-12</v>
      </c>
      <c r="G341" t="s">
        <v>6</v>
      </c>
      <c r="H341" s="4" t="s">
        <v>466</v>
      </c>
      <c r="I341">
        <f>0.0008*0.00000238*0.00127087</f>
        <v>2.4197364799999998E-12</v>
      </c>
      <c r="J341" t="s">
        <v>6</v>
      </c>
      <c r="K341" s="4" t="s">
        <v>463</v>
      </c>
      <c r="L341" s="41"/>
    </row>
    <row r="342" spans="1:12" x14ac:dyDescent="0.25">
      <c r="A342" s="46"/>
      <c r="B342" s="42"/>
      <c r="C342" s="46"/>
      <c r="D342" s="44"/>
      <c r="E342" s="45"/>
      <c r="F342">
        <f>0.0004*0.00000238*0.00127087</f>
        <v>1.2098682399999999E-12</v>
      </c>
      <c r="G342" t="s">
        <v>6</v>
      </c>
      <c r="H342" s="4" t="s">
        <v>467</v>
      </c>
      <c r="I342">
        <f>0.0004*0.00000238*0.00127087</f>
        <v>1.2098682399999999E-12</v>
      </c>
      <c r="J342" t="s">
        <v>6</v>
      </c>
      <c r="K342" s="4" t="s">
        <v>464</v>
      </c>
      <c r="L342" s="41"/>
    </row>
    <row r="343" spans="1:12" x14ac:dyDescent="0.25">
      <c r="A343" s="46"/>
      <c r="B343" s="42"/>
      <c r="C343" s="46"/>
      <c r="D343" s="44"/>
      <c r="E343" s="45"/>
      <c r="F343">
        <f>0.0676*0.00000238*0.00127087</f>
        <v>2.0446773255999996E-10</v>
      </c>
      <c r="G343" t="s">
        <v>6</v>
      </c>
      <c r="H343" s="4" t="s">
        <v>468</v>
      </c>
      <c r="I343">
        <f>0.0676*0.00000238*0.00127087</f>
        <v>2.0446773255999996E-10</v>
      </c>
      <c r="J343" t="s">
        <v>6</v>
      </c>
      <c r="K343" s="4" t="s">
        <v>465</v>
      </c>
      <c r="L343" s="41"/>
    </row>
    <row r="344" spans="1:12" x14ac:dyDescent="0.25">
      <c r="A344" s="46"/>
      <c r="B344" s="42"/>
      <c r="C344" s="46"/>
      <c r="D344" s="44"/>
      <c r="E344" s="45"/>
      <c r="F344">
        <f>0.0008*0.00000434*0.00127087</f>
        <v>4.4124606399999998E-12</v>
      </c>
      <c r="G344" t="s">
        <v>6</v>
      </c>
      <c r="H344" s="4" t="s">
        <v>469</v>
      </c>
      <c r="I344">
        <f>0.0008*0.00000434*0.00127087</f>
        <v>4.4124606399999998E-12</v>
      </c>
      <c r="J344" t="s">
        <v>6</v>
      </c>
      <c r="K344" s="4" t="s">
        <v>470</v>
      </c>
      <c r="L344" s="41"/>
    </row>
    <row r="345" spans="1:12" x14ac:dyDescent="0.25">
      <c r="A345" s="46"/>
      <c r="B345" s="42"/>
      <c r="C345" s="46"/>
      <c r="D345" s="44"/>
      <c r="E345" s="45"/>
      <c r="F345">
        <f>0.0004*0.00000434*0.00127087</f>
        <v>2.2062303199999999E-12</v>
      </c>
      <c r="G345" t="s">
        <v>6</v>
      </c>
      <c r="H345" s="4" t="s">
        <v>471</v>
      </c>
      <c r="I345">
        <f>0.0004*0.00000434*0.00127087</f>
        <v>2.2062303199999999E-12</v>
      </c>
      <c r="J345" t="s">
        <v>6</v>
      </c>
      <c r="K345" s="4" t="s">
        <v>472</v>
      </c>
      <c r="L345" s="41"/>
    </row>
    <row r="346" spans="1:12" x14ac:dyDescent="0.25">
      <c r="A346" s="46"/>
      <c r="B346" s="42"/>
      <c r="C346" s="46"/>
      <c r="D346" s="44"/>
      <c r="E346" s="45"/>
      <c r="F346">
        <f>0.00065*0.00000434*0.00127087</f>
        <v>3.5851242699999994E-12</v>
      </c>
      <c r="G346" t="s">
        <v>6</v>
      </c>
      <c r="H346" s="4" t="s">
        <v>473</v>
      </c>
      <c r="I346">
        <f>0.00065*0.00000434*0.00127087</f>
        <v>3.5851242699999994E-12</v>
      </c>
      <c r="J346" t="s">
        <v>6</v>
      </c>
      <c r="K346" s="4" t="s">
        <v>474</v>
      </c>
      <c r="L346" s="41"/>
    </row>
    <row r="347" spans="1:12" x14ac:dyDescent="0.25">
      <c r="A347" s="46"/>
      <c r="B347" s="42"/>
      <c r="C347" s="46"/>
      <c r="D347" s="44"/>
      <c r="E347" s="45"/>
      <c r="F347">
        <f>0.000656*0.0000165*0.00127087</f>
        <v>1.375589688E-11</v>
      </c>
      <c r="G347" t="s">
        <v>6</v>
      </c>
      <c r="H347" s="4" t="s">
        <v>451</v>
      </c>
      <c r="I347">
        <f>0.000656*0.0000165*0.00127087</f>
        <v>1.375589688E-11</v>
      </c>
      <c r="J347" t="s">
        <v>6</v>
      </c>
      <c r="K347" s="4" t="s">
        <v>450</v>
      </c>
      <c r="L347" s="41"/>
    </row>
    <row r="348" spans="1:12" x14ac:dyDescent="0.25">
      <c r="A348" s="46"/>
      <c r="B348" s="42"/>
      <c r="C348" s="46"/>
      <c r="D348" s="44"/>
      <c r="E348" s="45"/>
      <c r="F348">
        <f>0.000656*0.00000238*0.00127087</f>
        <v>1.9841839135999999E-12</v>
      </c>
      <c r="G348" t="s">
        <v>6</v>
      </c>
      <c r="H348" s="4" t="s">
        <v>453</v>
      </c>
      <c r="I348">
        <f>0.000656*0.00000238*0.00127087</f>
        <v>1.9841839135999999E-12</v>
      </c>
      <c r="J348" t="s">
        <v>6</v>
      </c>
      <c r="K348" s="4" t="s">
        <v>452</v>
      </c>
      <c r="L348" s="41"/>
    </row>
    <row r="349" spans="1:12" x14ac:dyDescent="0.25">
      <c r="A349" s="46"/>
      <c r="B349" s="42"/>
      <c r="C349" s="46"/>
      <c r="D349" s="44"/>
      <c r="E349" s="45"/>
      <c r="F349">
        <f>0.000656*0.00000434*0.00127087</f>
        <v>3.6182177247999998E-12</v>
      </c>
      <c r="G349" t="s">
        <v>6</v>
      </c>
      <c r="H349" s="4" t="s">
        <v>455</v>
      </c>
      <c r="I349">
        <f>0.000656*0.00000434*0.00127087</f>
        <v>3.6182177247999998E-12</v>
      </c>
      <c r="J349" t="s">
        <v>6</v>
      </c>
      <c r="K349" s="4" t="s">
        <v>454</v>
      </c>
      <c r="L349" s="41"/>
    </row>
    <row r="350" spans="1:12" x14ac:dyDescent="0.25">
      <c r="A350" s="46"/>
      <c r="B350" s="42"/>
      <c r="C350" s="46"/>
      <c r="D350" s="44"/>
      <c r="E350" s="45"/>
      <c r="F350">
        <f>0.000581*0.00000434*0.00127087</f>
        <v>3.2045495397999998E-12</v>
      </c>
      <c r="G350" t="s">
        <v>6</v>
      </c>
      <c r="H350" s="4" t="s">
        <v>456</v>
      </c>
      <c r="I350">
        <f>0.000581*0.00000434*0.00127087</f>
        <v>3.2045495397999998E-12</v>
      </c>
      <c r="J350" t="s">
        <v>6</v>
      </c>
      <c r="K350" s="4" t="s">
        <v>454</v>
      </c>
      <c r="L350" s="41"/>
    </row>
    <row r="351" spans="1:12" x14ac:dyDescent="0.25">
      <c r="A351" s="46" t="s">
        <v>511</v>
      </c>
      <c r="B351" s="42" t="s">
        <v>428</v>
      </c>
      <c r="C351" s="46" t="s">
        <v>503</v>
      </c>
      <c r="D351" s="44">
        <v>1</v>
      </c>
      <c r="E351" s="45" t="s">
        <v>15</v>
      </c>
      <c r="F351">
        <f>0.00000419*(1-0.238)/43.4</f>
        <v>7.3566359447004608E-8</v>
      </c>
      <c r="G351" t="s">
        <v>292</v>
      </c>
      <c r="H351" s="4" t="s">
        <v>509</v>
      </c>
      <c r="L351" s="41" t="s">
        <v>510</v>
      </c>
    </row>
    <row r="352" spans="1:12" x14ac:dyDescent="0.25">
      <c r="A352" s="46"/>
      <c r="B352" s="42"/>
      <c r="C352" s="46"/>
      <c r="D352" s="44"/>
      <c r="E352" s="45"/>
      <c r="F352">
        <f>0.0008*0.0000165*0.00127087</f>
        <v>1.6775484000000003E-11</v>
      </c>
      <c r="G352" t="s">
        <v>6</v>
      </c>
      <c r="H352" s="4" t="s">
        <v>460</v>
      </c>
      <c r="I352">
        <f>0.0008*0.0000165*0.00127087</f>
        <v>1.6775484000000003E-11</v>
      </c>
      <c r="J352" t="s">
        <v>6</v>
      </c>
      <c r="K352" s="4" t="s">
        <v>457</v>
      </c>
      <c r="L352" s="41"/>
    </row>
    <row r="353" spans="1:12" x14ac:dyDescent="0.25">
      <c r="A353" s="46"/>
      <c r="B353" s="42"/>
      <c r="C353" s="46"/>
      <c r="D353" s="44"/>
      <c r="E353" s="45"/>
      <c r="F353">
        <f>0.0004*0.0000165*0.00127087</f>
        <v>8.3877420000000015E-12</v>
      </c>
      <c r="G353" t="s">
        <v>6</v>
      </c>
      <c r="H353" s="4" t="s">
        <v>459</v>
      </c>
      <c r="I353">
        <f>0.0004*0.0000165*0.00127087</f>
        <v>8.3877420000000015E-12</v>
      </c>
      <c r="J353" t="s">
        <v>6</v>
      </c>
      <c r="K353" s="4" t="s">
        <v>458</v>
      </c>
      <c r="L353" s="41"/>
    </row>
    <row r="354" spans="1:12" x14ac:dyDescent="0.25">
      <c r="A354" s="46"/>
      <c r="B354" s="42"/>
      <c r="C354" s="46"/>
      <c r="D354" s="44"/>
      <c r="E354" s="45"/>
      <c r="F354">
        <f>0.0676*0.0000165*0.00127087</f>
        <v>1.4175283979999998E-9</v>
      </c>
      <c r="G354" t="s">
        <v>6</v>
      </c>
      <c r="H354" s="4" t="s">
        <v>461</v>
      </c>
      <c r="I354">
        <f>0.0676*0.0000165*0.00127087</f>
        <v>1.4175283979999998E-9</v>
      </c>
      <c r="J354" t="s">
        <v>6</v>
      </c>
      <c r="K354" s="4" t="s">
        <v>462</v>
      </c>
      <c r="L354" s="41"/>
    </row>
    <row r="355" spans="1:12" x14ac:dyDescent="0.25">
      <c r="A355" s="46"/>
      <c r="B355" s="42"/>
      <c r="C355" s="46"/>
      <c r="D355" s="44"/>
      <c r="E355" s="45"/>
      <c r="F355">
        <f>0.0008*0.00000238*0.00127087</f>
        <v>2.4197364799999998E-12</v>
      </c>
      <c r="G355" t="s">
        <v>6</v>
      </c>
      <c r="H355" s="4" t="s">
        <v>466</v>
      </c>
      <c r="I355">
        <f>0.0008*0.00000238*0.00127087</f>
        <v>2.4197364799999998E-12</v>
      </c>
      <c r="J355" t="s">
        <v>6</v>
      </c>
      <c r="K355" s="4" t="s">
        <v>463</v>
      </c>
      <c r="L355" s="41"/>
    </row>
    <row r="356" spans="1:12" x14ac:dyDescent="0.25">
      <c r="A356" s="46"/>
      <c r="B356" s="42"/>
      <c r="C356" s="46"/>
      <c r="D356" s="44"/>
      <c r="E356" s="45"/>
      <c r="F356">
        <f>0.0004*0.00000238*0.00127087</f>
        <v>1.2098682399999999E-12</v>
      </c>
      <c r="G356" t="s">
        <v>6</v>
      </c>
      <c r="H356" s="4" t="s">
        <v>467</v>
      </c>
      <c r="I356">
        <f>0.0004*0.00000238*0.00127087</f>
        <v>1.2098682399999999E-12</v>
      </c>
      <c r="J356" t="s">
        <v>6</v>
      </c>
      <c r="K356" s="4" t="s">
        <v>464</v>
      </c>
      <c r="L356" s="41"/>
    </row>
    <row r="357" spans="1:12" x14ac:dyDescent="0.25">
      <c r="A357" s="46"/>
      <c r="B357" s="42"/>
      <c r="C357" s="46"/>
      <c r="D357" s="44"/>
      <c r="E357" s="45"/>
      <c r="F357">
        <f>0.0676*0.00000238*0.00127087</f>
        <v>2.0446773255999996E-10</v>
      </c>
      <c r="G357" t="s">
        <v>6</v>
      </c>
      <c r="H357" s="4" t="s">
        <v>468</v>
      </c>
      <c r="I357">
        <f>0.0676*0.00000238*0.00127087</f>
        <v>2.0446773255999996E-10</v>
      </c>
      <c r="J357" t="s">
        <v>6</v>
      </c>
      <c r="K357" s="4" t="s">
        <v>465</v>
      </c>
      <c r="L357" s="41"/>
    </row>
    <row r="358" spans="1:12" x14ac:dyDescent="0.25">
      <c r="A358" s="46"/>
      <c r="B358" s="42"/>
      <c r="C358" s="46"/>
      <c r="D358" s="44"/>
      <c r="E358" s="45"/>
      <c r="F358">
        <f>0.0008*0.00000434*0.00127087</f>
        <v>4.4124606399999998E-12</v>
      </c>
      <c r="G358" t="s">
        <v>6</v>
      </c>
      <c r="H358" s="4" t="s">
        <v>469</v>
      </c>
      <c r="I358">
        <f>0.0008*0.00000434*0.00127087</f>
        <v>4.4124606399999998E-12</v>
      </c>
      <c r="J358" t="s">
        <v>6</v>
      </c>
      <c r="K358" s="4" t="s">
        <v>470</v>
      </c>
      <c r="L358" s="41"/>
    </row>
    <row r="359" spans="1:12" x14ac:dyDescent="0.25">
      <c r="A359" s="46"/>
      <c r="B359" s="42"/>
      <c r="C359" s="46"/>
      <c r="D359" s="44"/>
      <c r="E359" s="45"/>
      <c r="F359">
        <f>0.0004*0.00000434*0.00127087</f>
        <v>2.2062303199999999E-12</v>
      </c>
      <c r="G359" t="s">
        <v>6</v>
      </c>
      <c r="H359" s="4" t="s">
        <v>471</v>
      </c>
      <c r="I359">
        <f>0.0004*0.00000434*0.00127087</f>
        <v>2.2062303199999999E-12</v>
      </c>
      <c r="J359" t="s">
        <v>6</v>
      </c>
      <c r="K359" s="4" t="s">
        <v>472</v>
      </c>
      <c r="L359" s="41"/>
    </row>
    <row r="360" spans="1:12" x14ac:dyDescent="0.25">
      <c r="A360" s="46"/>
      <c r="B360" s="42"/>
      <c r="C360" s="46"/>
      <c r="D360" s="44"/>
      <c r="E360" s="45"/>
      <c r="F360">
        <f>0.00065*0.00000434*0.00127087</f>
        <v>3.5851242699999994E-12</v>
      </c>
      <c r="G360" t="s">
        <v>6</v>
      </c>
      <c r="H360" s="4" t="s">
        <v>473</v>
      </c>
      <c r="I360">
        <f>0.00065*0.00000434*0.00127087</f>
        <v>3.5851242699999994E-12</v>
      </c>
      <c r="J360" t="s">
        <v>6</v>
      </c>
      <c r="K360" s="4" t="s">
        <v>474</v>
      </c>
      <c r="L360" s="41"/>
    </row>
    <row r="361" spans="1:12" x14ac:dyDescent="0.25">
      <c r="A361" s="46"/>
      <c r="B361" s="42"/>
      <c r="C361" s="46"/>
      <c r="D361" s="44"/>
      <c r="E361" s="45"/>
      <c r="F361">
        <f>0.000656*0.0000165*0.00127087</f>
        <v>1.375589688E-11</v>
      </c>
      <c r="G361" t="s">
        <v>6</v>
      </c>
      <c r="H361" s="4" t="s">
        <v>451</v>
      </c>
      <c r="I361">
        <f>0.000656*0.0000165*0.00127087</f>
        <v>1.375589688E-11</v>
      </c>
      <c r="J361" t="s">
        <v>6</v>
      </c>
      <c r="K361" s="4" t="s">
        <v>450</v>
      </c>
      <c r="L361" s="41"/>
    </row>
    <row r="362" spans="1:12" x14ac:dyDescent="0.25">
      <c r="A362" s="46"/>
      <c r="B362" s="42"/>
      <c r="C362" s="46"/>
      <c r="D362" s="44"/>
      <c r="E362" s="45"/>
      <c r="F362">
        <f>0.000656*0.00000238*0.00127087</f>
        <v>1.9841839135999999E-12</v>
      </c>
      <c r="G362" t="s">
        <v>6</v>
      </c>
      <c r="H362" s="4" t="s">
        <v>453</v>
      </c>
      <c r="I362">
        <f>0.000656*0.00000238*0.00127087</f>
        <v>1.9841839135999999E-12</v>
      </c>
      <c r="J362" t="s">
        <v>6</v>
      </c>
      <c r="K362" s="4" t="s">
        <v>452</v>
      </c>
      <c r="L362" s="41"/>
    </row>
    <row r="363" spans="1:12" x14ac:dyDescent="0.25">
      <c r="A363" s="46"/>
      <c r="B363" s="42"/>
      <c r="C363" s="46"/>
      <c r="D363" s="44"/>
      <c r="E363" s="45"/>
      <c r="F363">
        <f>0.000656*0.00000434*0.00127087</f>
        <v>3.6182177247999998E-12</v>
      </c>
      <c r="G363" t="s">
        <v>6</v>
      </c>
      <c r="H363" s="4" t="s">
        <v>455</v>
      </c>
      <c r="I363">
        <f>0.000656*0.00000434*0.00127087</f>
        <v>3.6182177247999998E-12</v>
      </c>
      <c r="J363" t="s">
        <v>6</v>
      </c>
      <c r="K363" s="4" t="s">
        <v>454</v>
      </c>
      <c r="L363" s="41"/>
    </row>
    <row r="364" spans="1:12" x14ac:dyDescent="0.25">
      <c r="A364" s="46"/>
      <c r="B364" s="42"/>
      <c r="C364" s="46"/>
      <c r="D364" s="44"/>
      <c r="E364" s="45"/>
      <c r="F364">
        <f>0.000581*0.00000434*0.00127087</f>
        <v>3.2045495397999998E-12</v>
      </c>
      <c r="G364" t="s">
        <v>6</v>
      </c>
      <c r="H364" s="4" t="s">
        <v>456</v>
      </c>
      <c r="I364">
        <f>0.000581*0.00000434*0.00127087</f>
        <v>3.2045495397999998E-12</v>
      </c>
      <c r="J364" t="s">
        <v>6</v>
      </c>
      <c r="K364" s="4" t="s">
        <v>454</v>
      </c>
      <c r="L364" s="41"/>
    </row>
    <row r="365" spans="1:12" ht="15" customHeight="1" x14ac:dyDescent="0.25">
      <c r="A365" s="46" t="s">
        <v>512</v>
      </c>
      <c r="B365" s="42" t="s">
        <v>428</v>
      </c>
      <c r="C365" s="46" t="s">
        <v>445</v>
      </c>
      <c r="D365" s="44">
        <v>1</v>
      </c>
      <c r="E365" s="45" t="s">
        <v>15</v>
      </c>
      <c r="F365">
        <f>1/10.3*3.6/0.47/120</f>
        <v>6.1970667217517046E-3</v>
      </c>
      <c r="G365" t="s">
        <v>6</v>
      </c>
      <c r="H365" s="4" t="s">
        <v>514</v>
      </c>
      <c r="I365" s="38">
        <f>0.0000000968-(0.00000418/43.4)</f>
        <v>4.8663594470047409E-10</v>
      </c>
      <c r="J365" t="s">
        <v>292</v>
      </c>
      <c r="K365" s="4" t="s">
        <v>513</v>
      </c>
      <c r="L365" s="41" t="s">
        <v>517</v>
      </c>
    </row>
    <row r="366" spans="1:12" x14ac:dyDescent="0.25">
      <c r="A366" s="46"/>
      <c r="B366" s="42"/>
      <c r="C366" s="46"/>
      <c r="D366" s="44"/>
      <c r="E366" s="45"/>
      <c r="F366">
        <f>1/10.3*3.6/0.47/120</f>
        <v>6.1970667217517046E-3</v>
      </c>
      <c r="G366" t="s">
        <v>6</v>
      </c>
      <c r="H366" s="4" t="s">
        <v>515</v>
      </c>
      <c r="I366">
        <f>1/108.4</f>
        <v>9.2250922509225092E-3</v>
      </c>
      <c r="J366" t="s">
        <v>6</v>
      </c>
      <c r="K366" s="4" t="s">
        <v>516</v>
      </c>
      <c r="L366" s="41"/>
    </row>
    <row r="367" spans="1:12" x14ac:dyDescent="0.25">
      <c r="A367" s="46"/>
      <c r="B367" s="42"/>
      <c r="C367" s="46"/>
      <c r="D367" s="44"/>
      <c r="E367" s="45"/>
      <c r="F367">
        <f>0.009*1/10.3*3.6/0.47/120</f>
        <v>5.5773600495765339E-5</v>
      </c>
      <c r="G367" t="s">
        <v>10</v>
      </c>
      <c r="H367" s="4" t="s">
        <v>520</v>
      </c>
      <c r="I367">
        <f>0.009/108.4</f>
        <v>8.3025830258302578E-5</v>
      </c>
      <c r="J367" t="s">
        <v>10</v>
      </c>
      <c r="K367" s="4" t="s">
        <v>520</v>
      </c>
      <c r="L367" s="41"/>
    </row>
    <row r="368" spans="1:12" x14ac:dyDescent="0.25">
      <c r="A368" s="46"/>
      <c r="B368" s="42"/>
      <c r="C368" s="46"/>
      <c r="D368" s="44"/>
      <c r="E368" s="45"/>
      <c r="F368">
        <f>0.0008*0.0000165*0.00127087</f>
        <v>1.6775484000000003E-11</v>
      </c>
      <c r="G368" t="s">
        <v>6</v>
      </c>
      <c r="H368" s="4" t="s">
        <v>460</v>
      </c>
      <c r="I368">
        <f>0.0008*0.0000165*0.00127087</f>
        <v>1.6775484000000003E-11</v>
      </c>
      <c r="J368" t="s">
        <v>6</v>
      </c>
      <c r="K368" s="4" t="s">
        <v>457</v>
      </c>
      <c r="L368" s="41"/>
    </row>
    <row r="369" spans="1:12" x14ac:dyDescent="0.25">
      <c r="A369" s="46"/>
      <c r="B369" s="42"/>
      <c r="C369" s="46"/>
      <c r="D369" s="44"/>
      <c r="E369" s="45"/>
      <c r="F369">
        <f>0.0004*0.0000165*0.00127087</f>
        <v>8.3877420000000015E-12</v>
      </c>
      <c r="G369" t="s">
        <v>6</v>
      </c>
      <c r="H369" s="4" t="s">
        <v>459</v>
      </c>
      <c r="I369">
        <f>0.0004*0.0000165*0.00127087</f>
        <v>8.3877420000000015E-12</v>
      </c>
      <c r="J369" t="s">
        <v>6</v>
      </c>
      <c r="K369" s="4" t="s">
        <v>458</v>
      </c>
      <c r="L369" s="41"/>
    </row>
    <row r="370" spans="1:12" x14ac:dyDescent="0.25">
      <c r="A370" s="46"/>
      <c r="B370" s="42"/>
      <c r="C370" s="46"/>
      <c r="D370" s="44"/>
      <c r="E370" s="45"/>
      <c r="F370">
        <f>0.0676*0.0000165*0.00127087</f>
        <v>1.4175283979999998E-9</v>
      </c>
      <c r="G370" t="s">
        <v>6</v>
      </c>
      <c r="H370" s="4" t="s">
        <v>461</v>
      </c>
      <c r="I370">
        <f>0.0676*0.0000165*0.00127087</f>
        <v>1.4175283979999998E-9</v>
      </c>
      <c r="J370" t="s">
        <v>6</v>
      </c>
      <c r="K370" s="4" t="s">
        <v>462</v>
      </c>
      <c r="L370" s="41"/>
    </row>
    <row r="371" spans="1:12" x14ac:dyDescent="0.25">
      <c r="A371" s="46"/>
      <c r="B371" s="42"/>
      <c r="C371" s="46"/>
      <c r="D371" s="44"/>
      <c r="E371" s="45"/>
      <c r="F371">
        <f>0.0008*0.00000238*0.00127087</f>
        <v>2.4197364799999998E-12</v>
      </c>
      <c r="G371" t="s">
        <v>6</v>
      </c>
      <c r="H371" s="4" t="s">
        <v>466</v>
      </c>
      <c r="I371">
        <f>0.0008*0.00000238*0.00127087</f>
        <v>2.4197364799999998E-12</v>
      </c>
      <c r="J371" t="s">
        <v>6</v>
      </c>
      <c r="K371" s="4" t="s">
        <v>463</v>
      </c>
      <c r="L371" s="41"/>
    </row>
    <row r="372" spans="1:12" x14ac:dyDescent="0.25">
      <c r="A372" s="46"/>
      <c r="B372" s="42"/>
      <c r="C372" s="46"/>
      <c r="D372" s="44"/>
      <c r="E372" s="45"/>
      <c r="F372">
        <f>0.0004*0.00000238*0.00127087</f>
        <v>1.2098682399999999E-12</v>
      </c>
      <c r="G372" t="s">
        <v>6</v>
      </c>
      <c r="H372" s="4" t="s">
        <v>467</v>
      </c>
      <c r="I372">
        <f>0.0004*0.00000238*0.00127087</f>
        <v>1.2098682399999999E-12</v>
      </c>
      <c r="J372" t="s">
        <v>6</v>
      </c>
      <c r="K372" s="4" t="s">
        <v>464</v>
      </c>
      <c r="L372" s="41"/>
    </row>
    <row r="373" spans="1:12" x14ac:dyDescent="0.25">
      <c r="A373" s="46"/>
      <c r="B373" s="42"/>
      <c r="C373" s="46"/>
      <c r="D373" s="44"/>
      <c r="E373" s="45"/>
      <c r="F373">
        <f>0.0676*0.00000238*0.00127087</f>
        <v>2.0446773255999996E-10</v>
      </c>
      <c r="G373" t="s">
        <v>6</v>
      </c>
      <c r="H373" s="4" t="s">
        <v>468</v>
      </c>
      <c r="I373">
        <f>0.0676*0.00000238*0.00127087</f>
        <v>2.0446773255999996E-10</v>
      </c>
      <c r="J373" t="s">
        <v>6</v>
      </c>
      <c r="K373" s="4" t="s">
        <v>465</v>
      </c>
      <c r="L373" s="41"/>
    </row>
    <row r="374" spans="1:12" x14ac:dyDescent="0.25">
      <c r="A374" s="46"/>
      <c r="B374" s="42"/>
      <c r="C374" s="46"/>
      <c r="D374" s="44"/>
      <c r="E374" s="45"/>
      <c r="F374">
        <f>0.0008*0.00000434*0.00127087</f>
        <v>4.4124606399999998E-12</v>
      </c>
      <c r="G374" t="s">
        <v>6</v>
      </c>
      <c r="H374" s="4" t="s">
        <v>469</v>
      </c>
      <c r="I374">
        <f>0.0008*0.00000434*0.00127087</f>
        <v>4.4124606399999998E-12</v>
      </c>
      <c r="J374" t="s">
        <v>6</v>
      </c>
      <c r="K374" s="4" t="s">
        <v>470</v>
      </c>
      <c r="L374" s="41"/>
    </row>
    <row r="375" spans="1:12" x14ac:dyDescent="0.25">
      <c r="A375" s="46"/>
      <c r="B375" s="42"/>
      <c r="C375" s="46"/>
      <c r="D375" s="44"/>
      <c r="E375" s="45"/>
      <c r="F375">
        <f>0.0004*0.00000434*0.00127087</f>
        <v>2.2062303199999999E-12</v>
      </c>
      <c r="G375" t="s">
        <v>6</v>
      </c>
      <c r="H375" s="4" t="s">
        <v>471</v>
      </c>
      <c r="I375">
        <f>0.0004*0.00000434*0.00127087</f>
        <v>2.2062303199999999E-12</v>
      </c>
      <c r="J375" t="s">
        <v>6</v>
      </c>
      <c r="K375" s="4" t="s">
        <v>472</v>
      </c>
      <c r="L375" s="41"/>
    </row>
    <row r="376" spans="1:12" x14ac:dyDescent="0.25">
      <c r="A376" s="46"/>
      <c r="B376" s="42"/>
      <c r="C376" s="46"/>
      <c r="D376" s="44"/>
      <c r="E376" s="45"/>
      <c r="F376">
        <f>0.00065*0.00000434*0.00127087</f>
        <v>3.5851242699999994E-12</v>
      </c>
      <c r="G376" t="s">
        <v>6</v>
      </c>
      <c r="H376" s="4" t="s">
        <v>473</v>
      </c>
      <c r="I376">
        <f>0.00065*0.00000434*0.00127087</f>
        <v>3.5851242699999994E-12</v>
      </c>
      <c r="J376" t="s">
        <v>6</v>
      </c>
      <c r="K376" s="4" t="s">
        <v>474</v>
      </c>
      <c r="L376" s="41"/>
    </row>
    <row r="377" spans="1:12" x14ac:dyDescent="0.25">
      <c r="A377" s="46"/>
      <c r="B377" s="42"/>
      <c r="C377" s="46"/>
      <c r="D377" s="44"/>
      <c r="E377" s="45"/>
      <c r="F377">
        <f>0.000656*0.0000165*0.00127087</f>
        <v>1.375589688E-11</v>
      </c>
      <c r="G377" t="s">
        <v>6</v>
      </c>
      <c r="H377" s="4" t="s">
        <v>451</v>
      </c>
      <c r="I377">
        <f>0.000656*0.0000165*0.00127087</f>
        <v>1.375589688E-11</v>
      </c>
      <c r="J377" t="s">
        <v>6</v>
      </c>
      <c r="K377" s="4" t="s">
        <v>450</v>
      </c>
      <c r="L377" s="41"/>
    </row>
    <row r="378" spans="1:12" x14ac:dyDescent="0.25">
      <c r="A378" s="46"/>
      <c r="B378" s="42"/>
      <c r="C378" s="46"/>
      <c r="D378" s="44"/>
      <c r="E378" s="45"/>
      <c r="F378">
        <f>0.000656*0.00000238*0.00127087</f>
        <v>1.9841839135999999E-12</v>
      </c>
      <c r="G378" t="s">
        <v>6</v>
      </c>
      <c r="H378" s="4" t="s">
        <v>453</v>
      </c>
      <c r="I378">
        <f>0.000656*0.00000238*0.00127087</f>
        <v>1.9841839135999999E-12</v>
      </c>
      <c r="J378" t="s">
        <v>6</v>
      </c>
      <c r="K378" s="4" t="s">
        <v>452</v>
      </c>
      <c r="L378" s="41"/>
    </row>
    <row r="379" spans="1:12" x14ac:dyDescent="0.25">
      <c r="A379" s="46"/>
      <c r="B379" s="42"/>
      <c r="C379" s="46"/>
      <c r="D379" s="44"/>
      <c r="E379" s="45"/>
      <c r="F379">
        <f>0.000656*0.00000434*0.00127087</f>
        <v>3.6182177247999998E-12</v>
      </c>
      <c r="G379" t="s">
        <v>6</v>
      </c>
      <c r="H379" s="4" t="s">
        <v>455</v>
      </c>
      <c r="I379">
        <f>0.000656*0.00000434*0.00127087</f>
        <v>3.6182177247999998E-12</v>
      </c>
      <c r="J379" t="s">
        <v>6</v>
      </c>
      <c r="K379" s="4" t="s">
        <v>454</v>
      </c>
      <c r="L379" s="41"/>
    </row>
    <row r="380" spans="1:12" x14ac:dyDescent="0.25">
      <c r="A380" s="46"/>
      <c r="B380" s="42"/>
      <c r="C380" s="46"/>
      <c r="D380" s="44"/>
      <c r="E380" s="45"/>
      <c r="F380">
        <f>0.000581*0.00000434*0.00127087</f>
        <v>3.2045495397999998E-12</v>
      </c>
      <c r="G380" t="s">
        <v>6</v>
      </c>
      <c r="H380" s="4" t="s">
        <v>456</v>
      </c>
      <c r="I380">
        <f>0.000581*0.00000434*0.00127087</f>
        <v>3.2045495397999998E-12</v>
      </c>
      <c r="J380" t="s">
        <v>6</v>
      </c>
      <c r="K380" s="4" t="s">
        <v>454</v>
      </c>
      <c r="L380" s="41"/>
    </row>
    <row r="381" spans="1:12" x14ac:dyDescent="0.25">
      <c r="A381" s="43" t="s">
        <v>518</v>
      </c>
      <c r="B381" s="42" t="s">
        <v>428</v>
      </c>
      <c r="C381" s="46" t="s">
        <v>445</v>
      </c>
      <c r="D381" s="44">
        <v>1</v>
      </c>
      <c r="E381" s="45" t="s">
        <v>15</v>
      </c>
      <c r="F381">
        <f>1/10.3*3.6/0.47/120</f>
        <v>6.1970667217517046E-3</v>
      </c>
      <c r="G381" t="s">
        <v>6</v>
      </c>
      <c r="H381" s="4" t="s">
        <v>131</v>
      </c>
      <c r="I381" s="38">
        <f>0.0000000968-(0.00000418/43.4)</f>
        <v>4.8663594470047409E-10</v>
      </c>
      <c r="J381" t="s">
        <v>292</v>
      </c>
      <c r="K381" s="4" t="s">
        <v>513</v>
      </c>
      <c r="L381" s="41" t="s">
        <v>517</v>
      </c>
    </row>
    <row r="382" spans="1:12" x14ac:dyDescent="0.25">
      <c r="A382" s="43"/>
      <c r="B382" s="42"/>
      <c r="C382" s="46"/>
      <c r="D382" s="44"/>
      <c r="E382" s="45"/>
      <c r="F382">
        <f>1/10.3*3.6/0.47/120</f>
        <v>6.1970667217517046E-3</v>
      </c>
      <c r="G382" t="s">
        <v>6</v>
      </c>
      <c r="H382" s="4" t="s">
        <v>133</v>
      </c>
      <c r="I382">
        <f>1/108.4</f>
        <v>9.2250922509225092E-3</v>
      </c>
      <c r="J382" t="s">
        <v>6</v>
      </c>
      <c r="K382" s="4" t="s">
        <v>519</v>
      </c>
      <c r="L382" s="41"/>
    </row>
    <row r="383" spans="1:12" x14ac:dyDescent="0.25">
      <c r="A383" s="43"/>
      <c r="B383" s="42"/>
      <c r="C383" s="46"/>
      <c r="D383" s="44"/>
      <c r="E383" s="45"/>
      <c r="F383">
        <f>0.009*1/10.3*3.6/0.47/120</f>
        <v>5.5773600495765339E-5</v>
      </c>
      <c r="G383" t="s">
        <v>10</v>
      </c>
      <c r="H383" s="4" t="s">
        <v>520</v>
      </c>
      <c r="I383">
        <f>0.009/108.4</f>
        <v>8.3025830258302578E-5</v>
      </c>
      <c r="J383" t="s">
        <v>10</v>
      </c>
      <c r="K383" s="4" t="s">
        <v>520</v>
      </c>
      <c r="L383" s="41"/>
    </row>
    <row r="384" spans="1:12" x14ac:dyDescent="0.25">
      <c r="A384" s="43"/>
      <c r="B384" s="42"/>
      <c r="C384" s="46"/>
      <c r="D384" s="44"/>
      <c r="E384" s="45"/>
      <c r="F384">
        <f>0.0008*0.0000165*0.00127087</f>
        <v>1.6775484000000003E-11</v>
      </c>
      <c r="G384" t="s">
        <v>6</v>
      </c>
      <c r="H384" s="4" t="s">
        <v>460</v>
      </c>
      <c r="I384">
        <f>0.0008*0.0000165*0.00127087</f>
        <v>1.6775484000000003E-11</v>
      </c>
      <c r="J384" t="s">
        <v>6</v>
      </c>
      <c r="K384" s="4" t="s">
        <v>457</v>
      </c>
      <c r="L384" s="41"/>
    </row>
    <row r="385" spans="1:12" x14ac:dyDescent="0.25">
      <c r="A385" s="43"/>
      <c r="B385" s="42"/>
      <c r="C385" s="46"/>
      <c r="D385" s="44"/>
      <c r="E385" s="45"/>
      <c r="F385">
        <f>0.0004*0.0000165*0.00127087</f>
        <v>8.3877420000000015E-12</v>
      </c>
      <c r="G385" t="s">
        <v>6</v>
      </c>
      <c r="H385" s="4" t="s">
        <v>459</v>
      </c>
      <c r="I385">
        <f>0.0004*0.0000165*0.00127087</f>
        <v>8.3877420000000015E-12</v>
      </c>
      <c r="J385" t="s">
        <v>6</v>
      </c>
      <c r="K385" s="4" t="s">
        <v>458</v>
      </c>
      <c r="L385" s="41"/>
    </row>
    <row r="386" spans="1:12" x14ac:dyDescent="0.25">
      <c r="A386" s="43"/>
      <c r="B386" s="42"/>
      <c r="C386" s="46"/>
      <c r="D386" s="44"/>
      <c r="E386" s="45"/>
      <c r="F386">
        <f>0.0676*0.0000165*0.00127087</f>
        <v>1.4175283979999998E-9</v>
      </c>
      <c r="G386" t="s">
        <v>6</v>
      </c>
      <c r="H386" s="4" t="s">
        <v>461</v>
      </c>
      <c r="I386">
        <f>0.0676*0.0000165*0.00127087</f>
        <v>1.4175283979999998E-9</v>
      </c>
      <c r="J386" t="s">
        <v>6</v>
      </c>
      <c r="K386" s="4" t="s">
        <v>462</v>
      </c>
      <c r="L386" s="41"/>
    </row>
    <row r="387" spans="1:12" x14ac:dyDescent="0.25">
      <c r="A387" s="43"/>
      <c r="B387" s="42"/>
      <c r="C387" s="46"/>
      <c r="D387" s="44"/>
      <c r="E387" s="45"/>
      <c r="F387">
        <f>0.0008*0.00000238*0.00127087</f>
        <v>2.4197364799999998E-12</v>
      </c>
      <c r="G387" t="s">
        <v>6</v>
      </c>
      <c r="H387" s="4" t="s">
        <v>466</v>
      </c>
      <c r="I387">
        <f>0.0008*0.00000238*0.00127087</f>
        <v>2.4197364799999998E-12</v>
      </c>
      <c r="J387" t="s">
        <v>6</v>
      </c>
      <c r="K387" s="4" t="s">
        <v>463</v>
      </c>
      <c r="L387" s="41"/>
    </row>
    <row r="388" spans="1:12" x14ac:dyDescent="0.25">
      <c r="A388" s="43"/>
      <c r="B388" s="42"/>
      <c r="C388" s="46"/>
      <c r="D388" s="44"/>
      <c r="E388" s="45"/>
      <c r="F388">
        <f>0.0004*0.00000238*0.00127087</f>
        <v>1.2098682399999999E-12</v>
      </c>
      <c r="G388" t="s">
        <v>6</v>
      </c>
      <c r="H388" s="4" t="s">
        <v>467</v>
      </c>
      <c r="I388">
        <f>0.0004*0.00000238*0.00127087</f>
        <v>1.2098682399999999E-12</v>
      </c>
      <c r="J388" t="s">
        <v>6</v>
      </c>
      <c r="K388" s="4" t="s">
        <v>464</v>
      </c>
      <c r="L388" s="41"/>
    </row>
    <row r="389" spans="1:12" x14ac:dyDescent="0.25">
      <c r="A389" s="43"/>
      <c r="B389" s="42"/>
      <c r="C389" s="46"/>
      <c r="D389" s="44"/>
      <c r="E389" s="45"/>
      <c r="F389">
        <f>0.0676*0.00000238*0.00127087</f>
        <v>2.0446773255999996E-10</v>
      </c>
      <c r="G389" t="s">
        <v>6</v>
      </c>
      <c r="H389" s="4" t="s">
        <v>468</v>
      </c>
      <c r="I389">
        <f>0.0676*0.00000238*0.00127087</f>
        <v>2.0446773255999996E-10</v>
      </c>
      <c r="J389" t="s">
        <v>6</v>
      </c>
      <c r="K389" s="4" t="s">
        <v>465</v>
      </c>
      <c r="L389" s="41"/>
    </row>
    <row r="390" spans="1:12" x14ac:dyDescent="0.25">
      <c r="A390" s="43"/>
      <c r="B390" s="42"/>
      <c r="C390" s="46"/>
      <c r="D390" s="44"/>
      <c r="E390" s="45"/>
      <c r="F390">
        <f>0.0008*0.00000434*0.00127087</f>
        <v>4.4124606399999998E-12</v>
      </c>
      <c r="G390" t="s">
        <v>6</v>
      </c>
      <c r="H390" s="4" t="s">
        <v>469</v>
      </c>
      <c r="I390">
        <f>0.0008*0.00000434*0.00127087</f>
        <v>4.4124606399999998E-12</v>
      </c>
      <c r="J390" t="s">
        <v>6</v>
      </c>
      <c r="K390" s="4" t="s">
        <v>470</v>
      </c>
      <c r="L390" s="41"/>
    </row>
    <row r="391" spans="1:12" x14ac:dyDescent="0.25">
      <c r="A391" s="43"/>
      <c r="B391" s="42"/>
      <c r="C391" s="46"/>
      <c r="D391" s="44"/>
      <c r="E391" s="45"/>
      <c r="F391">
        <f>0.0004*0.00000434*0.00127087</f>
        <v>2.2062303199999999E-12</v>
      </c>
      <c r="G391" t="s">
        <v>6</v>
      </c>
      <c r="H391" s="4" t="s">
        <v>471</v>
      </c>
      <c r="I391">
        <f>0.0004*0.00000434*0.00127087</f>
        <v>2.2062303199999999E-12</v>
      </c>
      <c r="J391" t="s">
        <v>6</v>
      </c>
      <c r="K391" s="4" t="s">
        <v>472</v>
      </c>
      <c r="L391" s="41"/>
    </row>
    <row r="392" spans="1:12" x14ac:dyDescent="0.25">
      <c r="A392" s="43"/>
      <c r="B392" s="42"/>
      <c r="C392" s="46"/>
      <c r="D392" s="44"/>
      <c r="E392" s="45"/>
      <c r="F392">
        <f>0.00065*0.00000434*0.00127087</f>
        <v>3.5851242699999994E-12</v>
      </c>
      <c r="G392" t="s">
        <v>6</v>
      </c>
      <c r="H392" s="4" t="s">
        <v>473</v>
      </c>
      <c r="I392">
        <f>0.00065*0.00000434*0.00127087</f>
        <v>3.5851242699999994E-12</v>
      </c>
      <c r="J392" t="s">
        <v>6</v>
      </c>
      <c r="K392" s="4" t="s">
        <v>474</v>
      </c>
      <c r="L392" s="41"/>
    </row>
    <row r="393" spans="1:12" x14ac:dyDescent="0.25">
      <c r="A393" s="43"/>
      <c r="B393" s="42"/>
      <c r="C393" s="46"/>
      <c r="D393" s="44"/>
      <c r="E393" s="45"/>
      <c r="F393">
        <f>0.000656*0.0000165*0.00127087</f>
        <v>1.375589688E-11</v>
      </c>
      <c r="G393" t="s">
        <v>6</v>
      </c>
      <c r="H393" s="4" t="s">
        <v>451</v>
      </c>
      <c r="I393">
        <f>0.000656*0.0000165*0.00127087</f>
        <v>1.375589688E-11</v>
      </c>
      <c r="J393" t="s">
        <v>6</v>
      </c>
      <c r="K393" s="4" t="s">
        <v>450</v>
      </c>
      <c r="L393" s="41"/>
    </row>
    <row r="394" spans="1:12" x14ac:dyDescent="0.25">
      <c r="A394" s="43"/>
      <c r="B394" s="42"/>
      <c r="C394" s="46"/>
      <c r="D394" s="44"/>
      <c r="E394" s="45"/>
      <c r="F394">
        <f>0.000656*0.00000238*0.00127087</f>
        <v>1.9841839135999999E-12</v>
      </c>
      <c r="G394" t="s">
        <v>6</v>
      </c>
      <c r="H394" s="4" t="s">
        <v>453</v>
      </c>
      <c r="I394">
        <f>0.000656*0.00000238*0.00127087</f>
        <v>1.9841839135999999E-12</v>
      </c>
      <c r="J394" t="s">
        <v>6</v>
      </c>
      <c r="K394" s="4" t="s">
        <v>452</v>
      </c>
      <c r="L394" s="41"/>
    </row>
    <row r="395" spans="1:12" x14ac:dyDescent="0.25">
      <c r="A395" s="43"/>
      <c r="B395" s="42"/>
      <c r="C395" s="46"/>
      <c r="D395" s="44"/>
      <c r="E395" s="45"/>
      <c r="F395">
        <f>0.000656*0.00000434*0.00127087</f>
        <v>3.6182177247999998E-12</v>
      </c>
      <c r="G395" t="s">
        <v>6</v>
      </c>
      <c r="H395" s="4" t="s">
        <v>455</v>
      </c>
      <c r="I395">
        <f>0.000656*0.00000434*0.00127087</f>
        <v>3.6182177247999998E-12</v>
      </c>
      <c r="J395" t="s">
        <v>6</v>
      </c>
      <c r="K395" s="4" t="s">
        <v>454</v>
      </c>
      <c r="L395" s="41"/>
    </row>
    <row r="396" spans="1:12" x14ac:dyDescent="0.25">
      <c r="A396" s="43"/>
      <c r="B396" s="42"/>
      <c r="C396" s="46"/>
      <c r="D396" s="44"/>
      <c r="E396" s="45"/>
      <c r="F396">
        <f>0.000581*0.00000434*0.00127087</f>
        <v>3.2045495397999998E-12</v>
      </c>
      <c r="G396" t="s">
        <v>6</v>
      </c>
      <c r="H396" s="4" t="s">
        <v>456</v>
      </c>
      <c r="I396">
        <f>0.000581*0.00000434*0.00127087</f>
        <v>3.2045495397999998E-12</v>
      </c>
      <c r="J396" t="s">
        <v>6</v>
      </c>
      <c r="K396" s="4" t="s">
        <v>454</v>
      </c>
      <c r="L396" s="41"/>
    </row>
    <row r="397" spans="1:12" x14ac:dyDescent="0.25">
      <c r="A397" s="46" t="s">
        <v>521</v>
      </c>
      <c r="B397" s="42" t="s">
        <v>428</v>
      </c>
      <c r="C397" s="46" t="s">
        <v>445</v>
      </c>
      <c r="D397" s="44">
        <v>1</v>
      </c>
      <c r="E397" s="45" t="s">
        <v>15</v>
      </c>
      <c r="F397">
        <f>1/10.3*3.6/0.47/120</f>
        <v>6.1970667217517046E-3</v>
      </c>
      <c r="G397" t="s">
        <v>6</v>
      </c>
      <c r="H397" s="4" t="s">
        <v>523</v>
      </c>
      <c r="I397" s="38">
        <f>0.0000000968-(0.00000418/43.4)</f>
        <v>4.8663594470047409E-10</v>
      </c>
      <c r="J397" t="s">
        <v>292</v>
      </c>
      <c r="K397" s="4" t="s">
        <v>513</v>
      </c>
      <c r="L397" s="41" t="s">
        <v>517</v>
      </c>
    </row>
    <row r="398" spans="1:12" x14ac:dyDescent="0.25">
      <c r="A398" s="46"/>
      <c r="B398" s="42"/>
      <c r="C398" s="46"/>
      <c r="D398" s="44"/>
      <c r="E398" s="45"/>
      <c r="F398">
        <f>1/10.3*3.6/0.47/120</f>
        <v>6.1970667217517046E-3</v>
      </c>
      <c r="G398" t="s">
        <v>6</v>
      </c>
      <c r="H398" s="4" t="s">
        <v>515</v>
      </c>
      <c r="I398">
        <f>1/108.4</f>
        <v>9.2250922509225092E-3</v>
      </c>
      <c r="J398" t="s">
        <v>6</v>
      </c>
      <c r="K398" s="4" t="s">
        <v>522</v>
      </c>
      <c r="L398" s="41"/>
    </row>
    <row r="399" spans="1:12" x14ac:dyDescent="0.25">
      <c r="A399" s="46"/>
      <c r="B399" s="42"/>
      <c r="C399" s="46"/>
      <c r="D399" s="44"/>
      <c r="E399" s="45"/>
      <c r="F399">
        <f>0.009*1/10.3*3.6/0.47/120</f>
        <v>5.5773600495765339E-5</v>
      </c>
      <c r="G399" t="s">
        <v>10</v>
      </c>
      <c r="H399" s="4" t="s">
        <v>520</v>
      </c>
      <c r="I399">
        <f>0.009/108.4</f>
        <v>8.3025830258302578E-5</v>
      </c>
      <c r="J399" t="s">
        <v>10</v>
      </c>
      <c r="K399" s="4" t="s">
        <v>520</v>
      </c>
      <c r="L399" s="41"/>
    </row>
    <row r="400" spans="1:12" x14ac:dyDescent="0.25">
      <c r="A400" s="46"/>
      <c r="B400" s="42"/>
      <c r="C400" s="46"/>
      <c r="D400" s="44"/>
      <c r="E400" s="45"/>
      <c r="F400">
        <f>0.0008*0.0000165*0.00127087</f>
        <v>1.6775484000000003E-11</v>
      </c>
      <c r="G400" t="s">
        <v>6</v>
      </c>
      <c r="H400" s="4" t="s">
        <v>460</v>
      </c>
      <c r="I400">
        <f>0.0008*0.0000165*0.00127087</f>
        <v>1.6775484000000003E-11</v>
      </c>
      <c r="J400" t="s">
        <v>6</v>
      </c>
      <c r="K400" s="4" t="s">
        <v>457</v>
      </c>
      <c r="L400" s="41"/>
    </row>
    <row r="401" spans="1:12" x14ac:dyDescent="0.25">
      <c r="A401" s="46"/>
      <c r="B401" s="42"/>
      <c r="C401" s="46"/>
      <c r="D401" s="44"/>
      <c r="E401" s="45"/>
      <c r="F401">
        <f>0.0004*0.0000165*0.00127087</f>
        <v>8.3877420000000015E-12</v>
      </c>
      <c r="G401" t="s">
        <v>6</v>
      </c>
      <c r="H401" s="4" t="s">
        <v>459</v>
      </c>
      <c r="I401">
        <f>0.0004*0.0000165*0.00127087</f>
        <v>8.3877420000000015E-12</v>
      </c>
      <c r="J401" t="s">
        <v>6</v>
      </c>
      <c r="K401" s="4" t="s">
        <v>458</v>
      </c>
      <c r="L401" s="41"/>
    </row>
    <row r="402" spans="1:12" x14ac:dyDescent="0.25">
      <c r="A402" s="46"/>
      <c r="B402" s="42"/>
      <c r="C402" s="46"/>
      <c r="D402" s="44"/>
      <c r="E402" s="45"/>
      <c r="F402">
        <f>0.0676*0.0000165*0.00127087</f>
        <v>1.4175283979999998E-9</v>
      </c>
      <c r="G402" t="s">
        <v>6</v>
      </c>
      <c r="H402" s="4" t="s">
        <v>461</v>
      </c>
      <c r="I402">
        <f>0.0676*0.0000165*0.00127087</f>
        <v>1.4175283979999998E-9</v>
      </c>
      <c r="J402" t="s">
        <v>6</v>
      </c>
      <c r="K402" s="4" t="s">
        <v>462</v>
      </c>
      <c r="L402" s="41"/>
    </row>
    <row r="403" spans="1:12" x14ac:dyDescent="0.25">
      <c r="A403" s="46"/>
      <c r="B403" s="42"/>
      <c r="C403" s="46"/>
      <c r="D403" s="44"/>
      <c r="E403" s="45"/>
      <c r="F403">
        <f>0.0008*0.00000238*0.00127087</f>
        <v>2.4197364799999998E-12</v>
      </c>
      <c r="G403" t="s">
        <v>6</v>
      </c>
      <c r="H403" s="4" t="s">
        <v>466</v>
      </c>
      <c r="I403">
        <f>0.0008*0.00000238*0.00127087</f>
        <v>2.4197364799999998E-12</v>
      </c>
      <c r="J403" t="s">
        <v>6</v>
      </c>
      <c r="K403" s="4" t="s">
        <v>463</v>
      </c>
      <c r="L403" s="41"/>
    </row>
    <row r="404" spans="1:12" x14ac:dyDescent="0.25">
      <c r="A404" s="46"/>
      <c r="B404" s="42"/>
      <c r="C404" s="46"/>
      <c r="D404" s="44"/>
      <c r="E404" s="45"/>
      <c r="F404">
        <f>0.0004*0.00000238*0.00127087</f>
        <v>1.2098682399999999E-12</v>
      </c>
      <c r="G404" t="s">
        <v>6</v>
      </c>
      <c r="H404" s="4" t="s">
        <v>467</v>
      </c>
      <c r="I404">
        <f>0.0004*0.00000238*0.00127087</f>
        <v>1.2098682399999999E-12</v>
      </c>
      <c r="J404" t="s">
        <v>6</v>
      </c>
      <c r="K404" s="4" t="s">
        <v>464</v>
      </c>
      <c r="L404" s="41"/>
    </row>
    <row r="405" spans="1:12" x14ac:dyDescent="0.25">
      <c r="A405" s="46"/>
      <c r="B405" s="42"/>
      <c r="C405" s="46"/>
      <c r="D405" s="44"/>
      <c r="E405" s="45"/>
      <c r="F405">
        <f>0.0676*0.00000238*0.00127087</f>
        <v>2.0446773255999996E-10</v>
      </c>
      <c r="G405" t="s">
        <v>6</v>
      </c>
      <c r="H405" s="4" t="s">
        <v>468</v>
      </c>
      <c r="I405">
        <f>0.0676*0.00000238*0.00127087</f>
        <v>2.0446773255999996E-10</v>
      </c>
      <c r="J405" t="s">
        <v>6</v>
      </c>
      <c r="K405" s="4" t="s">
        <v>465</v>
      </c>
      <c r="L405" s="41"/>
    </row>
    <row r="406" spans="1:12" x14ac:dyDescent="0.25">
      <c r="A406" s="46"/>
      <c r="B406" s="42"/>
      <c r="C406" s="46"/>
      <c r="D406" s="44"/>
      <c r="E406" s="45"/>
      <c r="F406">
        <f>0.0008*0.00000434*0.00127087</f>
        <v>4.4124606399999998E-12</v>
      </c>
      <c r="G406" t="s">
        <v>6</v>
      </c>
      <c r="H406" s="4" t="s">
        <v>469</v>
      </c>
      <c r="I406">
        <f>0.0008*0.00000434*0.00127087</f>
        <v>4.4124606399999998E-12</v>
      </c>
      <c r="J406" t="s">
        <v>6</v>
      </c>
      <c r="K406" s="4" t="s">
        <v>470</v>
      </c>
      <c r="L406" s="41"/>
    </row>
    <row r="407" spans="1:12" x14ac:dyDescent="0.25">
      <c r="A407" s="46"/>
      <c r="B407" s="42"/>
      <c r="C407" s="46"/>
      <c r="D407" s="44"/>
      <c r="E407" s="45"/>
      <c r="F407">
        <f>0.0004*0.00000434*0.00127087</f>
        <v>2.2062303199999999E-12</v>
      </c>
      <c r="G407" t="s">
        <v>6</v>
      </c>
      <c r="H407" s="4" t="s">
        <v>471</v>
      </c>
      <c r="I407">
        <f>0.0004*0.00000434*0.00127087</f>
        <v>2.2062303199999999E-12</v>
      </c>
      <c r="J407" t="s">
        <v>6</v>
      </c>
      <c r="K407" s="4" t="s">
        <v>472</v>
      </c>
      <c r="L407" s="41"/>
    </row>
    <row r="408" spans="1:12" x14ac:dyDescent="0.25">
      <c r="A408" s="46"/>
      <c r="B408" s="42"/>
      <c r="C408" s="46"/>
      <c r="D408" s="44"/>
      <c r="E408" s="45"/>
      <c r="F408">
        <f>0.00065*0.00000434*0.00127087</f>
        <v>3.5851242699999994E-12</v>
      </c>
      <c r="G408" t="s">
        <v>6</v>
      </c>
      <c r="H408" s="4" t="s">
        <v>473</v>
      </c>
      <c r="I408">
        <f>0.00065*0.00000434*0.00127087</f>
        <v>3.5851242699999994E-12</v>
      </c>
      <c r="J408" t="s">
        <v>6</v>
      </c>
      <c r="K408" s="4" t="s">
        <v>474</v>
      </c>
      <c r="L408" s="41"/>
    </row>
    <row r="409" spans="1:12" x14ac:dyDescent="0.25">
      <c r="A409" s="46"/>
      <c r="B409" s="42"/>
      <c r="C409" s="46"/>
      <c r="D409" s="44"/>
      <c r="E409" s="45"/>
      <c r="F409">
        <f>0.000656*0.0000165*0.00127087</f>
        <v>1.375589688E-11</v>
      </c>
      <c r="G409" t="s">
        <v>6</v>
      </c>
      <c r="H409" s="4" t="s">
        <v>451</v>
      </c>
      <c r="I409">
        <f>0.000656*0.0000165*0.00127087</f>
        <v>1.375589688E-11</v>
      </c>
      <c r="J409" t="s">
        <v>6</v>
      </c>
      <c r="K409" s="4" t="s">
        <v>450</v>
      </c>
      <c r="L409" s="41"/>
    </row>
    <row r="410" spans="1:12" x14ac:dyDescent="0.25">
      <c r="A410" s="46"/>
      <c r="B410" s="42"/>
      <c r="C410" s="46"/>
      <c r="D410" s="44"/>
      <c r="E410" s="45"/>
      <c r="F410">
        <f>0.000656*0.00000238*0.00127087</f>
        <v>1.9841839135999999E-12</v>
      </c>
      <c r="G410" t="s">
        <v>6</v>
      </c>
      <c r="H410" s="4" t="s">
        <v>453</v>
      </c>
      <c r="I410">
        <f>0.000656*0.00000238*0.00127087</f>
        <v>1.9841839135999999E-12</v>
      </c>
      <c r="J410" t="s">
        <v>6</v>
      </c>
      <c r="K410" s="4" t="s">
        <v>452</v>
      </c>
      <c r="L410" s="41"/>
    </row>
    <row r="411" spans="1:12" x14ac:dyDescent="0.25">
      <c r="A411" s="46"/>
      <c r="B411" s="42"/>
      <c r="C411" s="46"/>
      <c r="D411" s="44"/>
      <c r="E411" s="45"/>
      <c r="F411">
        <f>0.000656*0.00000434*0.00127087</f>
        <v>3.6182177247999998E-12</v>
      </c>
      <c r="G411" t="s">
        <v>6</v>
      </c>
      <c r="H411" s="4" t="s">
        <v>455</v>
      </c>
      <c r="I411">
        <f>0.000656*0.00000434*0.00127087</f>
        <v>3.6182177247999998E-12</v>
      </c>
      <c r="J411" t="s">
        <v>6</v>
      </c>
      <c r="K411" s="4" t="s">
        <v>454</v>
      </c>
      <c r="L411" s="41"/>
    </row>
    <row r="412" spans="1:12" x14ac:dyDescent="0.25">
      <c r="A412" s="46"/>
      <c r="B412" s="42"/>
      <c r="C412" s="46"/>
      <c r="D412" s="44"/>
      <c r="E412" s="45"/>
      <c r="F412">
        <f>0.000581*0.00000434*0.00127087</f>
        <v>3.2045495397999998E-12</v>
      </c>
      <c r="G412" t="s">
        <v>6</v>
      </c>
      <c r="H412" s="4" t="s">
        <v>456</v>
      </c>
      <c r="I412">
        <f>0.000581*0.00000434*0.00127087</f>
        <v>3.2045495397999998E-12</v>
      </c>
      <c r="J412" t="s">
        <v>6</v>
      </c>
      <c r="K412" s="4" t="s">
        <v>454</v>
      </c>
      <c r="L412" s="41"/>
    </row>
    <row r="413" spans="1:12" x14ac:dyDescent="0.25">
      <c r="A413" s="46" t="s">
        <v>524</v>
      </c>
      <c r="B413" s="42" t="s">
        <v>428</v>
      </c>
      <c r="C413" s="46" t="s">
        <v>445</v>
      </c>
      <c r="D413" s="44">
        <v>1</v>
      </c>
      <c r="E413" s="45" t="s">
        <v>15</v>
      </c>
      <c r="F413">
        <f>1/10.3*3.6/0.47/120</f>
        <v>6.1970667217517046E-3</v>
      </c>
      <c r="G413" t="s">
        <v>6</v>
      </c>
      <c r="H413" s="4" t="s">
        <v>132</v>
      </c>
      <c r="I413" s="38">
        <f>0.0000000968-(0.00000418/43.4)</f>
        <v>4.8663594470047409E-10</v>
      </c>
      <c r="J413" t="s">
        <v>292</v>
      </c>
      <c r="K413" s="4" t="s">
        <v>513</v>
      </c>
      <c r="L413" s="41" t="s">
        <v>517</v>
      </c>
    </row>
    <row r="414" spans="1:12" x14ac:dyDescent="0.25">
      <c r="A414" s="46"/>
      <c r="B414" s="42"/>
      <c r="C414" s="46"/>
      <c r="D414" s="44"/>
      <c r="E414" s="45"/>
      <c r="F414">
        <f>1/10.3*3.6/0.47/120</f>
        <v>6.1970667217517046E-3</v>
      </c>
      <c r="G414" t="s">
        <v>6</v>
      </c>
      <c r="H414" s="4" t="s">
        <v>133</v>
      </c>
      <c r="I414">
        <f>1/108.4</f>
        <v>9.2250922509225092E-3</v>
      </c>
      <c r="J414" t="s">
        <v>6</v>
      </c>
      <c r="K414" s="4" t="s">
        <v>525</v>
      </c>
      <c r="L414" s="41"/>
    </row>
    <row r="415" spans="1:12" x14ac:dyDescent="0.25">
      <c r="A415" s="46"/>
      <c r="B415" s="42"/>
      <c r="C415" s="46"/>
      <c r="D415" s="44"/>
      <c r="E415" s="45"/>
      <c r="F415">
        <f>0.009*1/10.3*3.6/0.47/120</f>
        <v>5.5773600495765339E-5</v>
      </c>
      <c r="G415" t="s">
        <v>10</v>
      </c>
      <c r="H415" s="4" t="s">
        <v>520</v>
      </c>
      <c r="I415">
        <f>0.009/108.4</f>
        <v>8.3025830258302578E-5</v>
      </c>
      <c r="J415" t="s">
        <v>10</v>
      </c>
      <c r="K415" s="4" t="s">
        <v>520</v>
      </c>
      <c r="L415" s="41"/>
    </row>
    <row r="416" spans="1:12" x14ac:dyDescent="0.25">
      <c r="A416" s="46"/>
      <c r="B416" s="42"/>
      <c r="C416" s="46"/>
      <c r="D416" s="44"/>
      <c r="E416" s="45"/>
      <c r="F416">
        <f>0.0008*0.0000165*0.00127087</f>
        <v>1.6775484000000003E-11</v>
      </c>
      <c r="G416" t="s">
        <v>6</v>
      </c>
      <c r="H416" s="4" t="s">
        <v>460</v>
      </c>
      <c r="I416">
        <f>0.0008*0.0000165*0.00127087</f>
        <v>1.6775484000000003E-11</v>
      </c>
      <c r="J416" t="s">
        <v>6</v>
      </c>
      <c r="K416" s="4" t="s">
        <v>457</v>
      </c>
      <c r="L416" s="41"/>
    </row>
    <row r="417" spans="1:12" x14ac:dyDescent="0.25">
      <c r="A417" s="46"/>
      <c r="B417" s="42"/>
      <c r="C417" s="46"/>
      <c r="D417" s="44"/>
      <c r="E417" s="45"/>
      <c r="F417">
        <f>0.0004*0.0000165*0.00127087</f>
        <v>8.3877420000000015E-12</v>
      </c>
      <c r="G417" t="s">
        <v>6</v>
      </c>
      <c r="H417" s="4" t="s">
        <v>459</v>
      </c>
      <c r="I417">
        <f>0.0004*0.0000165*0.00127087</f>
        <v>8.3877420000000015E-12</v>
      </c>
      <c r="J417" t="s">
        <v>6</v>
      </c>
      <c r="K417" s="4" t="s">
        <v>458</v>
      </c>
      <c r="L417" s="41"/>
    </row>
    <row r="418" spans="1:12" x14ac:dyDescent="0.25">
      <c r="A418" s="46"/>
      <c r="B418" s="42"/>
      <c r="C418" s="46"/>
      <c r="D418" s="44"/>
      <c r="E418" s="45"/>
      <c r="F418">
        <f>0.0676*0.0000165*0.00127087</f>
        <v>1.4175283979999998E-9</v>
      </c>
      <c r="G418" t="s">
        <v>6</v>
      </c>
      <c r="H418" s="4" t="s">
        <v>461</v>
      </c>
      <c r="I418">
        <f>0.0676*0.0000165*0.00127087</f>
        <v>1.4175283979999998E-9</v>
      </c>
      <c r="J418" t="s">
        <v>6</v>
      </c>
      <c r="K418" s="4" t="s">
        <v>462</v>
      </c>
      <c r="L418" s="41"/>
    </row>
    <row r="419" spans="1:12" x14ac:dyDescent="0.25">
      <c r="A419" s="46"/>
      <c r="B419" s="42"/>
      <c r="C419" s="46"/>
      <c r="D419" s="44"/>
      <c r="E419" s="45"/>
      <c r="F419">
        <f>0.0008*0.00000238*0.00127087</f>
        <v>2.4197364799999998E-12</v>
      </c>
      <c r="G419" t="s">
        <v>6</v>
      </c>
      <c r="H419" s="4" t="s">
        <v>466</v>
      </c>
      <c r="I419">
        <f>0.0008*0.00000238*0.00127087</f>
        <v>2.4197364799999998E-12</v>
      </c>
      <c r="J419" t="s">
        <v>6</v>
      </c>
      <c r="K419" s="4" t="s">
        <v>463</v>
      </c>
      <c r="L419" s="41"/>
    </row>
    <row r="420" spans="1:12" x14ac:dyDescent="0.25">
      <c r="A420" s="46"/>
      <c r="B420" s="42"/>
      <c r="C420" s="46"/>
      <c r="D420" s="44"/>
      <c r="E420" s="45"/>
      <c r="F420">
        <f>0.0004*0.00000238*0.00127087</f>
        <v>1.2098682399999999E-12</v>
      </c>
      <c r="G420" t="s">
        <v>6</v>
      </c>
      <c r="H420" s="4" t="s">
        <v>467</v>
      </c>
      <c r="I420">
        <f>0.0004*0.00000238*0.00127087</f>
        <v>1.2098682399999999E-12</v>
      </c>
      <c r="J420" t="s">
        <v>6</v>
      </c>
      <c r="K420" s="4" t="s">
        <v>464</v>
      </c>
      <c r="L420" s="41"/>
    </row>
    <row r="421" spans="1:12" x14ac:dyDescent="0.25">
      <c r="A421" s="46"/>
      <c r="B421" s="42"/>
      <c r="C421" s="46"/>
      <c r="D421" s="44"/>
      <c r="E421" s="45"/>
      <c r="F421">
        <f>0.0676*0.00000238*0.00127087</f>
        <v>2.0446773255999996E-10</v>
      </c>
      <c r="G421" t="s">
        <v>6</v>
      </c>
      <c r="H421" s="4" t="s">
        <v>468</v>
      </c>
      <c r="I421">
        <f>0.0676*0.00000238*0.00127087</f>
        <v>2.0446773255999996E-10</v>
      </c>
      <c r="J421" t="s">
        <v>6</v>
      </c>
      <c r="K421" s="4" t="s">
        <v>465</v>
      </c>
      <c r="L421" s="41"/>
    </row>
    <row r="422" spans="1:12" x14ac:dyDescent="0.25">
      <c r="A422" s="46"/>
      <c r="B422" s="42"/>
      <c r="C422" s="46"/>
      <c r="D422" s="44"/>
      <c r="E422" s="45"/>
      <c r="F422">
        <f>0.0008*0.00000434*0.00127087</f>
        <v>4.4124606399999998E-12</v>
      </c>
      <c r="G422" t="s">
        <v>6</v>
      </c>
      <c r="H422" s="4" t="s">
        <v>469</v>
      </c>
      <c r="I422">
        <f>0.0008*0.00000434*0.00127087</f>
        <v>4.4124606399999998E-12</v>
      </c>
      <c r="J422" t="s">
        <v>6</v>
      </c>
      <c r="K422" s="4" t="s">
        <v>470</v>
      </c>
      <c r="L422" s="41"/>
    </row>
    <row r="423" spans="1:12" x14ac:dyDescent="0.25">
      <c r="A423" s="46"/>
      <c r="B423" s="42"/>
      <c r="C423" s="46"/>
      <c r="D423" s="44"/>
      <c r="E423" s="45"/>
      <c r="F423">
        <f>0.0004*0.00000434*0.00127087</f>
        <v>2.2062303199999999E-12</v>
      </c>
      <c r="G423" t="s">
        <v>6</v>
      </c>
      <c r="H423" s="4" t="s">
        <v>471</v>
      </c>
      <c r="I423">
        <f>0.0004*0.00000434*0.00127087</f>
        <v>2.2062303199999999E-12</v>
      </c>
      <c r="J423" t="s">
        <v>6</v>
      </c>
      <c r="K423" s="4" t="s">
        <v>472</v>
      </c>
      <c r="L423" s="41"/>
    </row>
    <row r="424" spans="1:12" x14ac:dyDescent="0.25">
      <c r="A424" s="46"/>
      <c r="B424" s="42"/>
      <c r="C424" s="46"/>
      <c r="D424" s="44"/>
      <c r="E424" s="45"/>
      <c r="F424">
        <f>0.00065*0.00000434*0.00127087</f>
        <v>3.5851242699999994E-12</v>
      </c>
      <c r="G424" t="s">
        <v>6</v>
      </c>
      <c r="H424" s="4" t="s">
        <v>473</v>
      </c>
      <c r="I424">
        <f>0.00065*0.00000434*0.00127087</f>
        <v>3.5851242699999994E-12</v>
      </c>
      <c r="J424" t="s">
        <v>6</v>
      </c>
      <c r="K424" s="4" t="s">
        <v>474</v>
      </c>
      <c r="L424" s="41"/>
    </row>
    <row r="425" spans="1:12" x14ac:dyDescent="0.25">
      <c r="A425" s="46"/>
      <c r="B425" s="42"/>
      <c r="C425" s="46"/>
      <c r="D425" s="44"/>
      <c r="E425" s="45"/>
      <c r="F425">
        <f>0.000656*0.0000165*0.00127087</f>
        <v>1.375589688E-11</v>
      </c>
      <c r="G425" t="s">
        <v>6</v>
      </c>
      <c r="H425" s="4" t="s">
        <v>451</v>
      </c>
      <c r="I425">
        <f>0.000656*0.0000165*0.00127087</f>
        <v>1.375589688E-11</v>
      </c>
      <c r="J425" t="s">
        <v>6</v>
      </c>
      <c r="K425" s="4" t="s">
        <v>450</v>
      </c>
      <c r="L425" s="41"/>
    </row>
    <row r="426" spans="1:12" x14ac:dyDescent="0.25">
      <c r="A426" s="46"/>
      <c r="B426" s="42"/>
      <c r="C426" s="46"/>
      <c r="D426" s="44"/>
      <c r="E426" s="45"/>
      <c r="F426">
        <f>0.000656*0.00000238*0.00127087</f>
        <v>1.9841839135999999E-12</v>
      </c>
      <c r="G426" t="s">
        <v>6</v>
      </c>
      <c r="H426" s="4" t="s">
        <v>453</v>
      </c>
      <c r="I426">
        <f>0.000656*0.00000238*0.00127087</f>
        <v>1.9841839135999999E-12</v>
      </c>
      <c r="J426" t="s">
        <v>6</v>
      </c>
      <c r="K426" s="4" t="s">
        <v>452</v>
      </c>
      <c r="L426" s="41"/>
    </row>
    <row r="427" spans="1:12" x14ac:dyDescent="0.25">
      <c r="A427" s="46"/>
      <c r="B427" s="42"/>
      <c r="C427" s="46"/>
      <c r="D427" s="44"/>
      <c r="E427" s="45"/>
      <c r="F427">
        <f>0.000656*0.00000434*0.00127087</f>
        <v>3.6182177247999998E-12</v>
      </c>
      <c r="G427" t="s">
        <v>6</v>
      </c>
      <c r="H427" s="4" t="s">
        <v>455</v>
      </c>
      <c r="I427">
        <f>0.000656*0.00000434*0.00127087</f>
        <v>3.6182177247999998E-12</v>
      </c>
      <c r="J427" t="s">
        <v>6</v>
      </c>
      <c r="K427" s="4" t="s">
        <v>454</v>
      </c>
      <c r="L427" s="41"/>
    </row>
    <row r="428" spans="1:12" x14ac:dyDescent="0.25">
      <c r="A428" s="46"/>
      <c r="B428" s="42"/>
      <c r="C428" s="46"/>
      <c r="D428" s="44"/>
      <c r="E428" s="45"/>
      <c r="F428">
        <f>0.000581*0.00000434*0.00127087</f>
        <v>3.2045495397999998E-12</v>
      </c>
      <c r="G428" t="s">
        <v>6</v>
      </c>
      <c r="H428" s="4" t="s">
        <v>456</v>
      </c>
      <c r="I428">
        <f>0.000581*0.00000434*0.00127087</f>
        <v>3.2045495397999998E-12</v>
      </c>
      <c r="J428" t="s">
        <v>6</v>
      </c>
      <c r="K428" s="4" t="s">
        <v>454</v>
      </c>
      <c r="L428" s="41"/>
    </row>
    <row r="429" spans="1:12" ht="16.5" customHeight="1" x14ac:dyDescent="0.25">
      <c r="A429" s="46" t="s">
        <v>526</v>
      </c>
      <c r="B429" s="42" t="s">
        <v>428</v>
      </c>
      <c r="C429" s="46" t="s">
        <v>445</v>
      </c>
      <c r="D429" s="44">
        <v>1</v>
      </c>
      <c r="E429" s="45" t="s">
        <v>305</v>
      </c>
      <c r="F429">
        <v>1</v>
      </c>
      <c r="G429" t="s">
        <v>305</v>
      </c>
      <c r="H429" s="4" t="s">
        <v>341</v>
      </c>
      <c r="I429">
        <v>1</v>
      </c>
      <c r="J429" t="s">
        <v>305</v>
      </c>
      <c r="K429" s="4" t="s">
        <v>489</v>
      </c>
      <c r="L429" s="41" t="s">
        <v>449</v>
      </c>
    </row>
    <row r="430" spans="1:12" x14ac:dyDescent="0.25">
      <c r="A430" s="46"/>
      <c r="B430" s="42"/>
      <c r="C430" s="46"/>
      <c r="D430" s="44"/>
      <c r="E430" s="45"/>
      <c r="F430" s="38">
        <v>9.9800000000000007E-9</v>
      </c>
      <c r="G430" t="s">
        <v>6</v>
      </c>
      <c r="H430" s="4" t="s">
        <v>459</v>
      </c>
      <c r="I430" s="38">
        <v>9.9800000000000007E-9</v>
      </c>
      <c r="J430" t="s">
        <v>6</v>
      </c>
      <c r="K430" s="4" t="s">
        <v>458</v>
      </c>
      <c r="L430" s="41"/>
    </row>
    <row r="431" spans="1:12" ht="15.75" customHeight="1" x14ac:dyDescent="0.25">
      <c r="A431" s="46" t="s">
        <v>527</v>
      </c>
      <c r="B431" s="42" t="s">
        <v>428</v>
      </c>
      <c r="C431" s="46" t="s">
        <v>445</v>
      </c>
      <c r="D431" s="44">
        <v>1</v>
      </c>
      <c r="E431" s="45" t="s">
        <v>305</v>
      </c>
      <c r="F431">
        <v>1</v>
      </c>
      <c r="G431" t="s">
        <v>305</v>
      </c>
      <c r="H431" s="4" t="s">
        <v>341</v>
      </c>
      <c r="I431">
        <v>1</v>
      </c>
      <c r="J431" t="s">
        <v>305</v>
      </c>
      <c r="K431" s="4" t="s">
        <v>489</v>
      </c>
      <c r="L431" s="41" t="s">
        <v>449</v>
      </c>
    </row>
    <row r="432" spans="1:12" x14ac:dyDescent="0.25">
      <c r="A432" s="46"/>
      <c r="B432" s="42"/>
      <c r="C432" s="46"/>
      <c r="D432" s="44"/>
      <c r="E432" s="45"/>
      <c r="F432" s="38">
        <v>9.9800000000000007E-9</v>
      </c>
      <c r="G432" t="s">
        <v>6</v>
      </c>
      <c r="H432" s="4" t="s">
        <v>459</v>
      </c>
      <c r="I432" s="38">
        <v>9.9800000000000007E-9</v>
      </c>
      <c r="J432" t="s">
        <v>6</v>
      </c>
      <c r="K432" s="4" t="s">
        <v>458</v>
      </c>
      <c r="L432" s="41"/>
    </row>
    <row r="433" spans="1:12" x14ac:dyDescent="0.25">
      <c r="A433" s="46" t="s">
        <v>528</v>
      </c>
      <c r="B433" s="42" t="s">
        <v>428</v>
      </c>
      <c r="C433" s="46" t="s">
        <v>445</v>
      </c>
      <c r="D433" s="44">
        <v>1</v>
      </c>
      <c r="E433" s="45" t="s">
        <v>305</v>
      </c>
      <c r="F433">
        <v>1</v>
      </c>
      <c r="G433" t="s">
        <v>305</v>
      </c>
      <c r="H433" s="4" t="s">
        <v>341</v>
      </c>
      <c r="I433">
        <v>1</v>
      </c>
      <c r="J433" t="s">
        <v>305</v>
      </c>
      <c r="K433" s="4" t="s">
        <v>489</v>
      </c>
      <c r="L433" s="41" t="s">
        <v>449</v>
      </c>
    </row>
    <row r="434" spans="1:12" x14ac:dyDescent="0.25">
      <c r="A434" s="46"/>
      <c r="B434" s="42"/>
      <c r="C434" s="46"/>
      <c r="D434" s="44"/>
      <c r="E434" s="45"/>
      <c r="F434" s="38">
        <v>9.9800000000000007E-9</v>
      </c>
      <c r="G434" t="s">
        <v>6</v>
      </c>
      <c r="H434" s="4" t="s">
        <v>459</v>
      </c>
      <c r="I434" s="38">
        <v>9.9800000000000007E-9</v>
      </c>
      <c r="J434" t="s">
        <v>6</v>
      </c>
      <c r="K434" s="4" t="s">
        <v>458</v>
      </c>
      <c r="L434" s="41"/>
    </row>
    <row r="435" spans="1:12" x14ac:dyDescent="0.25">
      <c r="A435" s="46" t="s">
        <v>529</v>
      </c>
      <c r="B435" s="42" t="s">
        <v>428</v>
      </c>
      <c r="C435" s="46" t="s">
        <v>445</v>
      </c>
      <c r="D435" s="44">
        <v>1</v>
      </c>
      <c r="E435" s="45" t="s">
        <v>305</v>
      </c>
      <c r="F435">
        <v>1</v>
      </c>
      <c r="G435" t="s">
        <v>305</v>
      </c>
      <c r="H435" s="4" t="s">
        <v>341</v>
      </c>
      <c r="I435">
        <v>1</v>
      </c>
      <c r="J435" t="s">
        <v>305</v>
      </c>
      <c r="K435" s="4" t="s">
        <v>489</v>
      </c>
      <c r="L435" s="41" t="s">
        <v>449</v>
      </c>
    </row>
    <row r="436" spans="1:12" x14ac:dyDescent="0.25">
      <c r="A436" s="46"/>
      <c r="B436" s="42"/>
      <c r="C436" s="46"/>
      <c r="D436" s="44"/>
      <c r="E436" s="45"/>
      <c r="F436" s="38">
        <v>9.9800000000000007E-9</v>
      </c>
      <c r="G436" t="s">
        <v>6</v>
      </c>
      <c r="H436" s="4" t="s">
        <v>459</v>
      </c>
      <c r="I436" s="38">
        <v>9.9800000000000007E-9</v>
      </c>
      <c r="J436" t="s">
        <v>6</v>
      </c>
      <c r="K436" s="4" t="s">
        <v>458</v>
      </c>
      <c r="L436" s="41"/>
    </row>
    <row r="437" spans="1:12" ht="13.5" customHeight="1" x14ac:dyDescent="0.25">
      <c r="A437" s="46" t="s">
        <v>530</v>
      </c>
      <c r="B437" s="42" t="s">
        <v>428</v>
      </c>
      <c r="C437" s="46" t="s">
        <v>445</v>
      </c>
      <c r="D437" s="44">
        <v>1</v>
      </c>
      <c r="E437" s="45" t="s">
        <v>305</v>
      </c>
      <c r="F437">
        <v>1</v>
      </c>
      <c r="G437" t="s">
        <v>305</v>
      </c>
      <c r="H437" s="4" t="s">
        <v>341</v>
      </c>
      <c r="I437">
        <v>1</v>
      </c>
      <c r="J437" t="s">
        <v>305</v>
      </c>
      <c r="K437" s="4" t="s">
        <v>489</v>
      </c>
      <c r="L437" s="41" t="s">
        <v>449</v>
      </c>
    </row>
    <row r="438" spans="1:12" x14ac:dyDescent="0.25">
      <c r="A438" s="46"/>
      <c r="B438" s="42"/>
      <c r="C438" s="46"/>
      <c r="D438" s="44"/>
      <c r="E438" s="45"/>
      <c r="F438" s="38">
        <v>9.9800000000000007E-9</v>
      </c>
      <c r="G438" t="s">
        <v>6</v>
      </c>
      <c r="H438" s="4" t="s">
        <v>459</v>
      </c>
      <c r="I438" s="38">
        <v>9.9800000000000007E-9</v>
      </c>
      <c r="J438" t="s">
        <v>6</v>
      </c>
      <c r="K438" s="4" t="s">
        <v>458</v>
      </c>
      <c r="L438" s="41"/>
    </row>
    <row r="439" spans="1:12" ht="16.5" customHeight="1" x14ac:dyDescent="0.25">
      <c r="A439" s="46" t="s">
        <v>531</v>
      </c>
      <c r="B439" s="42" t="s">
        <v>428</v>
      </c>
      <c r="C439" s="46" t="s">
        <v>445</v>
      </c>
      <c r="D439" s="44">
        <v>1</v>
      </c>
      <c r="E439" s="45" t="s">
        <v>305</v>
      </c>
      <c r="F439">
        <v>1</v>
      </c>
      <c r="G439" t="s">
        <v>305</v>
      </c>
      <c r="H439" s="4" t="s">
        <v>476</v>
      </c>
      <c r="I439">
        <v>1</v>
      </c>
      <c r="J439" t="s">
        <v>305</v>
      </c>
      <c r="K439" s="4" t="s">
        <v>492</v>
      </c>
      <c r="L439" s="41" t="s">
        <v>449</v>
      </c>
    </row>
    <row r="440" spans="1:12" x14ac:dyDescent="0.25">
      <c r="A440" s="46"/>
      <c r="B440" s="42"/>
      <c r="C440" s="46"/>
      <c r="D440" s="44"/>
      <c r="E440" s="45"/>
      <c r="F440" s="38">
        <v>9.7599999999999994E-9</v>
      </c>
      <c r="G440" t="s">
        <v>6</v>
      </c>
      <c r="H440" s="4" t="s">
        <v>459</v>
      </c>
      <c r="I440" s="38">
        <v>9.7599999999999994E-9</v>
      </c>
      <c r="J440" t="s">
        <v>6</v>
      </c>
      <c r="K440" s="4" t="s">
        <v>458</v>
      </c>
      <c r="L440" s="41"/>
    </row>
    <row r="441" spans="1:12" x14ac:dyDescent="0.25">
      <c r="A441" s="46" t="s">
        <v>532</v>
      </c>
      <c r="B441" s="42" t="s">
        <v>428</v>
      </c>
      <c r="C441" s="46" t="s">
        <v>445</v>
      </c>
      <c r="D441" s="44">
        <v>1</v>
      </c>
      <c r="E441" s="45" t="s">
        <v>305</v>
      </c>
      <c r="F441">
        <v>1</v>
      </c>
      <c r="G441" t="s">
        <v>305</v>
      </c>
      <c r="H441" s="4" t="s">
        <v>476</v>
      </c>
      <c r="I441">
        <v>1</v>
      </c>
      <c r="J441" t="s">
        <v>305</v>
      </c>
      <c r="K441" s="4" t="s">
        <v>492</v>
      </c>
      <c r="L441" s="41" t="s">
        <v>449</v>
      </c>
    </row>
    <row r="442" spans="1:12" x14ac:dyDescent="0.25">
      <c r="A442" s="46"/>
      <c r="B442" s="42"/>
      <c r="C442" s="46"/>
      <c r="D442" s="44"/>
      <c r="E442" s="45"/>
      <c r="F442" s="38">
        <v>9.7599999999999994E-9</v>
      </c>
      <c r="G442" t="s">
        <v>6</v>
      </c>
      <c r="H442" s="4" t="s">
        <v>459</v>
      </c>
      <c r="I442" s="38">
        <v>9.7599999999999994E-9</v>
      </c>
      <c r="J442" t="s">
        <v>6</v>
      </c>
      <c r="K442" s="4" t="s">
        <v>458</v>
      </c>
      <c r="L442" s="41"/>
    </row>
    <row r="443" spans="1:12" ht="19.5" customHeight="1" x14ac:dyDescent="0.25">
      <c r="A443" s="46" t="s">
        <v>533</v>
      </c>
      <c r="B443" s="42" t="s">
        <v>428</v>
      </c>
      <c r="C443" s="46" t="s">
        <v>445</v>
      </c>
      <c r="D443" s="44">
        <v>1</v>
      </c>
      <c r="E443" s="45" t="s">
        <v>305</v>
      </c>
      <c r="F443">
        <v>1</v>
      </c>
      <c r="G443" t="s">
        <v>305</v>
      </c>
      <c r="H443" s="4" t="s">
        <v>476</v>
      </c>
      <c r="I443">
        <v>1</v>
      </c>
      <c r="J443" t="s">
        <v>305</v>
      </c>
      <c r="K443" s="4" t="s">
        <v>492</v>
      </c>
      <c r="L443" s="41" t="s">
        <v>449</v>
      </c>
    </row>
    <row r="444" spans="1:12" x14ac:dyDescent="0.25">
      <c r="A444" s="46"/>
      <c r="B444" s="42"/>
      <c r="C444" s="46"/>
      <c r="D444" s="44"/>
      <c r="E444" s="45"/>
      <c r="F444" s="38">
        <v>9.7599999999999994E-9</v>
      </c>
      <c r="G444" t="s">
        <v>6</v>
      </c>
      <c r="H444" s="4" t="s">
        <v>459</v>
      </c>
      <c r="I444" s="38">
        <v>9.7599999999999994E-9</v>
      </c>
      <c r="J444" t="s">
        <v>6</v>
      </c>
      <c r="K444" s="4" t="s">
        <v>458</v>
      </c>
      <c r="L444" s="41"/>
    </row>
    <row r="445" spans="1:12" x14ac:dyDescent="0.25">
      <c r="A445" s="46" t="s">
        <v>534</v>
      </c>
      <c r="B445" s="42" t="s">
        <v>428</v>
      </c>
      <c r="C445" s="46" t="s">
        <v>445</v>
      </c>
      <c r="D445" s="44">
        <v>1</v>
      </c>
      <c r="E445" s="45" t="s">
        <v>305</v>
      </c>
      <c r="F445">
        <v>1</v>
      </c>
      <c r="G445" t="s">
        <v>305</v>
      </c>
      <c r="H445" s="4" t="s">
        <v>476</v>
      </c>
      <c r="I445">
        <v>1</v>
      </c>
      <c r="J445" t="s">
        <v>305</v>
      </c>
      <c r="K445" s="4" t="s">
        <v>492</v>
      </c>
      <c r="L445" s="41" t="s">
        <v>449</v>
      </c>
    </row>
    <row r="446" spans="1:12" x14ac:dyDescent="0.25">
      <c r="A446" s="46"/>
      <c r="B446" s="42"/>
      <c r="C446" s="46"/>
      <c r="D446" s="44"/>
      <c r="E446" s="45"/>
      <c r="F446" s="38">
        <v>9.7599999999999994E-9</v>
      </c>
      <c r="G446" t="s">
        <v>6</v>
      </c>
      <c r="H446" s="4" t="s">
        <v>459</v>
      </c>
      <c r="I446" s="38">
        <v>9.7599999999999994E-9</v>
      </c>
      <c r="J446" t="s">
        <v>6</v>
      </c>
      <c r="K446" s="4" t="s">
        <v>458</v>
      </c>
      <c r="L446" s="41"/>
    </row>
    <row r="447" spans="1:12" x14ac:dyDescent="0.25">
      <c r="A447" s="46" t="s">
        <v>535</v>
      </c>
      <c r="B447" s="42" t="s">
        <v>428</v>
      </c>
      <c r="C447" s="46" t="s">
        <v>445</v>
      </c>
      <c r="D447" s="44">
        <v>1</v>
      </c>
      <c r="E447" s="45" t="s">
        <v>305</v>
      </c>
      <c r="F447">
        <v>1</v>
      </c>
      <c r="G447" t="s">
        <v>305</v>
      </c>
      <c r="H447" s="4" t="s">
        <v>476</v>
      </c>
      <c r="I447">
        <v>1</v>
      </c>
      <c r="J447" t="s">
        <v>305</v>
      </c>
      <c r="K447" s="4" t="s">
        <v>492</v>
      </c>
      <c r="L447" s="41" t="s">
        <v>449</v>
      </c>
    </row>
    <row r="448" spans="1:12" x14ac:dyDescent="0.25">
      <c r="A448" s="46"/>
      <c r="B448" s="42"/>
      <c r="C448" s="46"/>
      <c r="D448" s="44"/>
      <c r="E448" s="45"/>
      <c r="F448" s="38">
        <v>9.7599999999999994E-9</v>
      </c>
      <c r="G448" t="s">
        <v>6</v>
      </c>
      <c r="H448" s="4" t="s">
        <v>459</v>
      </c>
      <c r="I448" s="38">
        <v>9.7599999999999994E-9</v>
      </c>
      <c r="J448" t="s">
        <v>6</v>
      </c>
      <c r="K448" s="4" t="s">
        <v>458</v>
      </c>
      <c r="L448" s="41"/>
    </row>
    <row r="449" spans="1:12" x14ac:dyDescent="0.25">
      <c r="A449" s="46" t="s">
        <v>536</v>
      </c>
      <c r="B449" s="42" t="s">
        <v>428</v>
      </c>
      <c r="C449" s="46" t="s">
        <v>445</v>
      </c>
      <c r="D449" s="44">
        <v>1</v>
      </c>
      <c r="E449" s="45" t="s">
        <v>6</v>
      </c>
      <c r="F449">
        <v>1</v>
      </c>
      <c r="G449" t="s">
        <v>6</v>
      </c>
      <c r="H449" s="4" t="s">
        <v>514</v>
      </c>
      <c r="I449">
        <v>1</v>
      </c>
      <c r="J449" t="s">
        <v>6</v>
      </c>
      <c r="K449" s="4" t="s">
        <v>516</v>
      </c>
      <c r="L449" s="41" t="s">
        <v>537</v>
      </c>
    </row>
    <row r="450" spans="1:12" x14ac:dyDescent="0.25">
      <c r="A450" s="46"/>
      <c r="B450" s="42"/>
      <c r="C450" s="46"/>
      <c r="D450" s="44"/>
      <c r="E450" s="45"/>
      <c r="F450">
        <v>1</v>
      </c>
      <c r="G450" t="s">
        <v>6</v>
      </c>
      <c r="H450" s="4" t="s">
        <v>515</v>
      </c>
      <c r="I450" s="38">
        <f>0.0000029 / 0.095</f>
        <v>3.0526315789473684E-5</v>
      </c>
      <c r="J450" t="s">
        <v>292</v>
      </c>
      <c r="K450" s="4" t="s">
        <v>539</v>
      </c>
      <c r="L450" s="41"/>
    </row>
    <row r="451" spans="1:12" x14ac:dyDescent="0.25">
      <c r="A451" s="46"/>
      <c r="B451" s="42"/>
      <c r="C451" s="46"/>
      <c r="D451" s="44"/>
      <c r="E451" s="45"/>
      <c r="F451">
        <f>1/(946800/ 56.4)</f>
        <v>5.9569074778200252E-5</v>
      </c>
      <c r="G451" t="s">
        <v>292</v>
      </c>
      <c r="H451" s="4" t="s">
        <v>539</v>
      </c>
      <c r="I451" s="38"/>
      <c r="L451" s="41"/>
    </row>
    <row r="452" spans="1:12" ht="16.5" customHeight="1" x14ac:dyDescent="0.25">
      <c r="A452" s="46" t="s">
        <v>538</v>
      </c>
      <c r="B452" s="42" t="s">
        <v>428</v>
      </c>
      <c r="C452" s="46" t="s">
        <v>445</v>
      </c>
      <c r="D452" s="44">
        <v>1</v>
      </c>
      <c r="E452" s="45" t="s">
        <v>6</v>
      </c>
      <c r="F452">
        <v>1</v>
      </c>
      <c r="G452" t="s">
        <v>6</v>
      </c>
      <c r="H452" s="4" t="s">
        <v>131</v>
      </c>
      <c r="I452">
        <v>1</v>
      </c>
      <c r="J452" t="s">
        <v>6</v>
      </c>
      <c r="K452" s="4" t="s">
        <v>519</v>
      </c>
      <c r="L452" s="41" t="s">
        <v>537</v>
      </c>
    </row>
    <row r="453" spans="1:12" x14ac:dyDescent="0.25">
      <c r="A453" s="46"/>
      <c r="B453" s="42"/>
      <c r="C453" s="46"/>
      <c r="D453" s="44"/>
      <c r="E453" s="45"/>
      <c r="F453">
        <v>1</v>
      </c>
      <c r="G453" t="s">
        <v>6</v>
      </c>
      <c r="H453" s="4" t="s">
        <v>133</v>
      </c>
      <c r="I453" s="38">
        <f>0.0000029 / 0.095</f>
        <v>3.0526315789473684E-5</v>
      </c>
      <c r="J453" t="s">
        <v>292</v>
      </c>
      <c r="K453" s="4" t="s">
        <v>539</v>
      </c>
      <c r="L453" s="41"/>
    </row>
    <row r="454" spans="1:12" x14ac:dyDescent="0.25">
      <c r="A454" s="46"/>
      <c r="B454" s="42"/>
      <c r="C454" s="46"/>
      <c r="D454" s="44"/>
      <c r="E454" s="45"/>
      <c r="F454">
        <f>1/(946800/ 56.4)</f>
        <v>5.9569074778200252E-5</v>
      </c>
      <c r="G454" t="s">
        <v>292</v>
      </c>
      <c r="H454" s="4" t="s">
        <v>539</v>
      </c>
      <c r="L454" s="41"/>
    </row>
    <row r="455" spans="1:12" ht="18" customHeight="1" x14ac:dyDescent="0.25">
      <c r="A455" s="46" t="s">
        <v>540</v>
      </c>
      <c r="B455" s="42" t="s">
        <v>428</v>
      </c>
      <c r="C455" s="46" t="s">
        <v>445</v>
      </c>
      <c r="D455" s="44">
        <v>1</v>
      </c>
      <c r="E455" s="45" t="s">
        <v>6</v>
      </c>
      <c r="F455">
        <v>1</v>
      </c>
      <c r="G455" t="s">
        <v>6</v>
      </c>
      <c r="H455" s="4" t="s">
        <v>523</v>
      </c>
      <c r="I455">
        <v>1</v>
      </c>
      <c r="J455" t="s">
        <v>6</v>
      </c>
      <c r="K455" s="4" t="s">
        <v>522</v>
      </c>
      <c r="L455" s="41" t="s">
        <v>537</v>
      </c>
    </row>
    <row r="456" spans="1:12" x14ac:dyDescent="0.25">
      <c r="A456" s="46"/>
      <c r="B456" s="42"/>
      <c r="C456" s="46"/>
      <c r="D456" s="44"/>
      <c r="E456" s="45"/>
      <c r="F456">
        <v>1</v>
      </c>
      <c r="G456" t="s">
        <v>6</v>
      </c>
      <c r="H456" s="4" t="s">
        <v>515</v>
      </c>
      <c r="I456" s="38">
        <f>0.0000029 / 0.095</f>
        <v>3.0526315789473684E-5</v>
      </c>
      <c r="J456" t="s">
        <v>292</v>
      </c>
      <c r="K456" s="4" t="s">
        <v>539</v>
      </c>
      <c r="L456" s="41"/>
    </row>
    <row r="457" spans="1:12" x14ac:dyDescent="0.25">
      <c r="A457" s="46"/>
      <c r="B457" s="42"/>
      <c r="C457" s="46"/>
      <c r="D457" s="44"/>
      <c r="E457" s="45"/>
      <c r="F457">
        <f>1/(946800/ 56.4)</f>
        <v>5.9569074778200252E-5</v>
      </c>
      <c r="G457" t="s">
        <v>292</v>
      </c>
      <c r="H457" s="4" t="s">
        <v>539</v>
      </c>
      <c r="L457" s="41"/>
    </row>
    <row r="458" spans="1:12" x14ac:dyDescent="0.25">
      <c r="A458" s="46" t="s">
        <v>541</v>
      </c>
      <c r="B458" s="42" t="s">
        <v>428</v>
      </c>
      <c r="C458" s="46" t="s">
        <v>445</v>
      </c>
      <c r="D458" s="44">
        <v>1</v>
      </c>
      <c r="E458" s="45" t="s">
        <v>6</v>
      </c>
      <c r="F458">
        <v>1</v>
      </c>
      <c r="G458" t="s">
        <v>6</v>
      </c>
      <c r="H458" s="4" t="s">
        <v>132</v>
      </c>
      <c r="I458">
        <v>1</v>
      </c>
      <c r="J458" t="s">
        <v>6</v>
      </c>
      <c r="K458" s="4" t="s">
        <v>525</v>
      </c>
      <c r="L458" s="41" t="s">
        <v>537</v>
      </c>
    </row>
    <row r="459" spans="1:12" x14ac:dyDescent="0.25">
      <c r="A459" s="46"/>
      <c r="B459" s="42"/>
      <c r="C459" s="46"/>
      <c r="D459" s="44"/>
      <c r="E459" s="45"/>
      <c r="F459">
        <v>1</v>
      </c>
      <c r="G459" t="s">
        <v>6</v>
      </c>
      <c r="H459" s="4" t="s">
        <v>133</v>
      </c>
      <c r="I459" s="38">
        <f>0.0000029 / 0.095</f>
        <v>3.0526315789473684E-5</v>
      </c>
      <c r="J459" t="s">
        <v>292</v>
      </c>
      <c r="K459" s="4" t="s">
        <v>539</v>
      </c>
      <c r="L459" s="41"/>
    </row>
    <row r="460" spans="1:12" x14ac:dyDescent="0.25">
      <c r="A460" s="46"/>
      <c r="B460" s="42"/>
      <c r="C460" s="46"/>
      <c r="D460" s="44"/>
      <c r="E460" s="45"/>
      <c r="F460">
        <f>1/(946800/ 56.4)</f>
        <v>5.9569074778200252E-5</v>
      </c>
      <c r="G460" t="s">
        <v>292</v>
      </c>
      <c r="H460" s="4" t="s">
        <v>539</v>
      </c>
      <c r="L460" s="41"/>
    </row>
    <row r="461" spans="1:12" ht="17.25" customHeight="1" x14ac:dyDescent="0.25">
      <c r="A461" s="4" t="s">
        <v>542</v>
      </c>
      <c r="B461" s="61" t="s">
        <v>25</v>
      </c>
      <c r="C461" s="20" t="s">
        <v>602</v>
      </c>
      <c r="D461" s="60" t="s">
        <v>603</v>
      </c>
      <c r="E461" s="7" t="s">
        <v>6</v>
      </c>
      <c r="F461" s="38">
        <f>0.0000000002*D461</f>
        <v>4.7460600000000003E-7</v>
      </c>
      <c r="G461" t="s">
        <v>292</v>
      </c>
      <c r="H461" s="4" t="s">
        <v>291</v>
      </c>
      <c r="L461" s="41" t="s">
        <v>645</v>
      </c>
    </row>
    <row r="462" spans="1:12" ht="17.25" customHeight="1" x14ac:dyDescent="0.25">
      <c r="A462" s="4" t="s">
        <v>543</v>
      </c>
      <c r="B462" s="61" t="s">
        <v>25</v>
      </c>
      <c r="C462" s="20" t="s">
        <v>602</v>
      </c>
      <c r="D462" s="60" t="s">
        <v>604</v>
      </c>
      <c r="E462" s="7" t="s">
        <v>6</v>
      </c>
      <c r="F462" s="38">
        <f t="shared" ref="F462:F521" si="0">0.0000000002*D462</f>
        <v>4.7310600000000008E-7</v>
      </c>
      <c r="G462" t="s">
        <v>292</v>
      </c>
      <c r="H462" s="4" t="s">
        <v>291</v>
      </c>
      <c r="L462" s="41"/>
    </row>
    <row r="463" spans="1:12" ht="17.25" customHeight="1" x14ac:dyDescent="0.25">
      <c r="A463" s="4" t="s">
        <v>544</v>
      </c>
      <c r="B463" s="61" t="s">
        <v>25</v>
      </c>
      <c r="C463" s="20" t="s">
        <v>602</v>
      </c>
      <c r="D463" s="60" t="s">
        <v>621</v>
      </c>
      <c r="E463" s="7" t="s">
        <v>6</v>
      </c>
      <c r="F463" s="38">
        <f t="shared" si="0"/>
        <v>4.7690000000000004E-7</v>
      </c>
      <c r="G463" t="s">
        <v>292</v>
      </c>
      <c r="H463" s="4" t="s">
        <v>291</v>
      </c>
      <c r="L463" s="41"/>
    </row>
    <row r="464" spans="1:12" ht="17.25" customHeight="1" x14ac:dyDescent="0.25">
      <c r="A464" s="4" t="s">
        <v>545</v>
      </c>
      <c r="B464" s="61" t="s">
        <v>25</v>
      </c>
      <c r="C464" s="20" t="s">
        <v>602</v>
      </c>
      <c r="D464" s="60" t="s">
        <v>622</v>
      </c>
      <c r="E464" s="7" t="s">
        <v>6</v>
      </c>
      <c r="F464" s="38">
        <f t="shared" si="0"/>
        <v>4.7030000000000002E-7</v>
      </c>
      <c r="G464" t="s">
        <v>292</v>
      </c>
      <c r="H464" s="4" t="s">
        <v>291</v>
      </c>
      <c r="L464" s="41"/>
    </row>
    <row r="465" spans="1:12" ht="17.25" customHeight="1" x14ac:dyDescent="0.25">
      <c r="A465" s="4" t="s">
        <v>546</v>
      </c>
      <c r="B465" s="61" t="s">
        <v>25</v>
      </c>
      <c r="C465" s="20" t="s">
        <v>602</v>
      </c>
      <c r="D465" s="60" t="s">
        <v>623</v>
      </c>
      <c r="E465" s="7" t="s">
        <v>6</v>
      </c>
      <c r="F465" s="38">
        <f t="shared" si="0"/>
        <v>4.7950000000000003E-7</v>
      </c>
      <c r="G465" t="s">
        <v>292</v>
      </c>
      <c r="H465" s="4" t="s">
        <v>291</v>
      </c>
      <c r="L465" s="41"/>
    </row>
    <row r="466" spans="1:12" ht="17.25" customHeight="1" x14ac:dyDescent="0.25">
      <c r="A466" s="4" t="s">
        <v>547</v>
      </c>
      <c r="B466" s="61" t="s">
        <v>25</v>
      </c>
      <c r="C466" s="20" t="s">
        <v>602</v>
      </c>
      <c r="D466" s="60" t="s">
        <v>624</v>
      </c>
      <c r="E466" s="7" t="s">
        <v>6</v>
      </c>
      <c r="F466" s="38">
        <f t="shared" si="0"/>
        <v>4.7749999999999998E-7</v>
      </c>
      <c r="G466" t="s">
        <v>292</v>
      </c>
      <c r="H466" s="4" t="s">
        <v>291</v>
      </c>
      <c r="L466" s="41"/>
    </row>
    <row r="467" spans="1:12" ht="17.25" customHeight="1" x14ac:dyDescent="0.25">
      <c r="A467" s="4" t="s">
        <v>548</v>
      </c>
      <c r="B467" s="61" t="s">
        <v>25</v>
      </c>
      <c r="C467" s="20" t="s">
        <v>602</v>
      </c>
      <c r="D467" s="60" t="s">
        <v>605</v>
      </c>
      <c r="E467" s="7" t="s">
        <v>6</v>
      </c>
      <c r="F467" s="38">
        <f t="shared" si="0"/>
        <v>4.7510600000000007E-7</v>
      </c>
      <c r="G467" t="s">
        <v>292</v>
      </c>
      <c r="H467" s="4" t="s">
        <v>291</v>
      </c>
      <c r="L467" s="41"/>
    </row>
    <row r="468" spans="1:12" ht="17.25" customHeight="1" x14ac:dyDescent="0.25">
      <c r="A468" s="4" t="s">
        <v>549</v>
      </c>
      <c r="B468" s="61" t="s">
        <v>25</v>
      </c>
      <c r="C468" s="20" t="s">
        <v>602</v>
      </c>
      <c r="D468" s="60" t="s">
        <v>625</v>
      </c>
      <c r="E468" s="7" t="s">
        <v>6</v>
      </c>
      <c r="F468" s="38">
        <f t="shared" si="0"/>
        <v>4.8773999999999995E-7</v>
      </c>
      <c r="G468" t="s">
        <v>292</v>
      </c>
      <c r="H468" s="4" t="s">
        <v>291</v>
      </c>
      <c r="L468" s="41"/>
    </row>
    <row r="469" spans="1:12" ht="17.25" customHeight="1" x14ac:dyDescent="0.25">
      <c r="A469" s="4" t="s">
        <v>550</v>
      </c>
      <c r="B469" s="61" t="s">
        <v>25</v>
      </c>
      <c r="C469" s="20" t="s">
        <v>602</v>
      </c>
      <c r="D469" s="60" t="s">
        <v>626</v>
      </c>
      <c r="E469" s="7" t="s">
        <v>6</v>
      </c>
      <c r="F469" s="38">
        <f t="shared" si="0"/>
        <v>4.6712000000000002E-7</v>
      </c>
      <c r="G469" t="s">
        <v>292</v>
      </c>
      <c r="H469" s="4" t="s">
        <v>291</v>
      </c>
      <c r="L469" s="41"/>
    </row>
    <row r="470" spans="1:12" ht="17.25" customHeight="1" x14ac:dyDescent="0.25">
      <c r="A470" s="4" t="s">
        <v>551</v>
      </c>
      <c r="B470" s="61" t="s">
        <v>25</v>
      </c>
      <c r="C470" s="20" t="s">
        <v>602</v>
      </c>
      <c r="D470" s="60" t="s">
        <v>606</v>
      </c>
      <c r="E470" s="7" t="s">
        <v>6</v>
      </c>
      <c r="F470" s="38">
        <f t="shared" si="0"/>
        <v>4.9100000000000004E-7</v>
      </c>
      <c r="G470" t="s">
        <v>292</v>
      </c>
      <c r="H470" s="4" t="s">
        <v>291</v>
      </c>
      <c r="L470" s="41"/>
    </row>
    <row r="471" spans="1:12" ht="17.25" customHeight="1" x14ac:dyDescent="0.25">
      <c r="A471" s="4" t="s">
        <v>552</v>
      </c>
      <c r="B471" s="61" t="s">
        <v>25</v>
      </c>
      <c r="C471" s="20" t="s">
        <v>602</v>
      </c>
      <c r="D471" s="60" t="s">
        <v>607</v>
      </c>
      <c r="E471" s="7" t="s">
        <v>6</v>
      </c>
      <c r="F471" s="38">
        <f t="shared" si="0"/>
        <v>4.7980000000000005E-7</v>
      </c>
      <c r="G471" t="s">
        <v>292</v>
      </c>
      <c r="H471" s="4" t="s">
        <v>291</v>
      </c>
      <c r="L471" s="41"/>
    </row>
    <row r="472" spans="1:12" ht="17.25" customHeight="1" x14ac:dyDescent="0.25">
      <c r="A472" s="4" t="s">
        <v>553</v>
      </c>
      <c r="B472" s="61" t="s">
        <v>25</v>
      </c>
      <c r="C472" s="20" t="s">
        <v>602</v>
      </c>
      <c r="D472" s="60" t="s">
        <v>608</v>
      </c>
      <c r="E472" s="7" t="s">
        <v>6</v>
      </c>
      <c r="F472" s="38">
        <f t="shared" si="0"/>
        <v>4.686E-7</v>
      </c>
      <c r="G472" t="s">
        <v>292</v>
      </c>
      <c r="H472" s="4" t="s">
        <v>291</v>
      </c>
      <c r="L472" s="41"/>
    </row>
    <row r="473" spans="1:12" ht="17.25" customHeight="1" x14ac:dyDescent="0.25">
      <c r="A473" s="4" t="s">
        <v>554</v>
      </c>
      <c r="B473" s="61" t="s">
        <v>25</v>
      </c>
      <c r="C473" s="20" t="s">
        <v>602</v>
      </c>
      <c r="D473" s="60" t="s">
        <v>609</v>
      </c>
      <c r="E473" s="7" t="s">
        <v>6</v>
      </c>
      <c r="F473" s="38">
        <f t="shared" si="0"/>
        <v>4.7260000000000004E-7</v>
      </c>
      <c r="G473" t="s">
        <v>292</v>
      </c>
      <c r="H473" s="4" t="s">
        <v>291</v>
      </c>
      <c r="L473" s="41"/>
    </row>
    <row r="474" spans="1:12" ht="17.25" customHeight="1" x14ac:dyDescent="0.25">
      <c r="A474" s="4" t="s">
        <v>555</v>
      </c>
      <c r="B474" s="61" t="s">
        <v>25</v>
      </c>
      <c r="C474" s="20" t="s">
        <v>602</v>
      </c>
      <c r="D474" s="60">
        <v>2321</v>
      </c>
      <c r="E474" s="7" t="s">
        <v>6</v>
      </c>
      <c r="F474" s="38">
        <f t="shared" si="0"/>
        <v>4.6420000000000004E-7</v>
      </c>
      <c r="G474" t="s">
        <v>292</v>
      </c>
      <c r="H474" s="4" t="s">
        <v>291</v>
      </c>
      <c r="L474" s="41"/>
    </row>
    <row r="475" spans="1:12" ht="17.25" customHeight="1" x14ac:dyDescent="0.25">
      <c r="A475" s="4" t="s">
        <v>556</v>
      </c>
      <c r="B475" s="61" t="s">
        <v>25</v>
      </c>
      <c r="C475" s="20" t="s">
        <v>602</v>
      </c>
      <c r="D475" s="60">
        <v>2304</v>
      </c>
      <c r="E475" s="7" t="s">
        <v>6</v>
      </c>
      <c r="F475" s="38">
        <f t="shared" si="0"/>
        <v>4.608E-7</v>
      </c>
      <c r="G475" t="s">
        <v>292</v>
      </c>
      <c r="H475" s="4" t="s">
        <v>291</v>
      </c>
      <c r="L475" s="41"/>
    </row>
    <row r="476" spans="1:12" ht="17.25" customHeight="1" x14ac:dyDescent="0.25">
      <c r="A476" s="4" t="s">
        <v>557</v>
      </c>
      <c r="B476" s="61" t="s">
        <v>25</v>
      </c>
      <c r="C476" s="20" t="s">
        <v>602</v>
      </c>
      <c r="D476" s="60">
        <v>2332</v>
      </c>
      <c r="E476" s="7" t="s">
        <v>6</v>
      </c>
      <c r="F476" s="38">
        <f t="shared" si="0"/>
        <v>4.6639999999999999E-7</v>
      </c>
      <c r="G476" t="s">
        <v>292</v>
      </c>
      <c r="H476" s="4" t="s">
        <v>291</v>
      </c>
      <c r="L476" s="41"/>
    </row>
    <row r="477" spans="1:12" ht="17.25" customHeight="1" x14ac:dyDescent="0.25">
      <c r="A477" s="4" t="s">
        <v>558</v>
      </c>
      <c r="B477" s="61" t="s">
        <v>25</v>
      </c>
      <c r="C477" s="20" t="s">
        <v>602</v>
      </c>
      <c r="D477" s="60">
        <v>2315</v>
      </c>
      <c r="E477" s="7" t="s">
        <v>6</v>
      </c>
      <c r="F477" s="38">
        <f t="shared" si="0"/>
        <v>4.63E-7</v>
      </c>
      <c r="G477" t="s">
        <v>292</v>
      </c>
      <c r="H477" s="4" t="s">
        <v>291</v>
      </c>
      <c r="L477" s="41"/>
    </row>
    <row r="478" spans="1:12" ht="17.25" customHeight="1" x14ac:dyDescent="0.25">
      <c r="A478" s="4" t="s">
        <v>559</v>
      </c>
      <c r="B478" s="61" t="s">
        <v>25</v>
      </c>
      <c r="C478" s="20" t="s">
        <v>602</v>
      </c>
      <c r="D478" s="60" t="s">
        <v>622</v>
      </c>
      <c r="E478" s="7" t="s">
        <v>6</v>
      </c>
      <c r="F478" s="38">
        <f t="shared" si="0"/>
        <v>4.7030000000000002E-7</v>
      </c>
      <c r="G478" t="s">
        <v>292</v>
      </c>
      <c r="H478" s="4" t="s">
        <v>291</v>
      </c>
      <c r="L478" s="41"/>
    </row>
    <row r="479" spans="1:12" ht="17.25" customHeight="1" x14ac:dyDescent="0.25">
      <c r="A479" s="4" t="s">
        <v>560</v>
      </c>
      <c r="B479" s="61" t="s">
        <v>25</v>
      </c>
      <c r="C479" s="20" t="s">
        <v>602</v>
      </c>
      <c r="D479" s="60" t="s">
        <v>622</v>
      </c>
      <c r="E479" s="7" t="s">
        <v>6</v>
      </c>
      <c r="F479" s="38">
        <f t="shared" si="0"/>
        <v>4.7030000000000002E-7</v>
      </c>
      <c r="G479" t="s">
        <v>292</v>
      </c>
      <c r="H479" s="4" t="s">
        <v>291</v>
      </c>
      <c r="L479" s="41"/>
    </row>
    <row r="480" spans="1:12" ht="17.25" customHeight="1" x14ac:dyDescent="0.25">
      <c r="A480" s="4" t="s">
        <v>561</v>
      </c>
      <c r="B480" s="61" t="s">
        <v>25</v>
      </c>
      <c r="C480" s="20" t="s">
        <v>602</v>
      </c>
      <c r="D480" s="60" t="s">
        <v>623</v>
      </c>
      <c r="E480" s="7" t="s">
        <v>6</v>
      </c>
      <c r="F480" s="38">
        <f t="shared" si="0"/>
        <v>4.7950000000000003E-7</v>
      </c>
      <c r="G480" t="s">
        <v>292</v>
      </c>
      <c r="H480" s="4" t="s">
        <v>291</v>
      </c>
      <c r="L480" s="41"/>
    </row>
    <row r="481" spans="1:12" ht="17.25" customHeight="1" x14ac:dyDescent="0.25">
      <c r="A481" s="4" t="s">
        <v>562</v>
      </c>
      <c r="B481" s="61" t="s">
        <v>25</v>
      </c>
      <c r="C481" s="20" t="s">
        <v>602</v>
      </c>
      <c r="D481" s="60" t="s">
        <v>623</v>
      </c>
      <c r="E481" s="7" t="s">
        <v>6</v>
      </c>
      <c r="F481" s="38">
        <f t="shared" si="0"/>
        <v>4.7950000000000003E-7</v>
      </c>
      <c r="G481" t="s">
        <v>292</v>
      </c>
      <c r="H481" s="4" t="s">
        <v>291</v>
      </c>
      <c r="L481" s="41"/>
    </row>
    <row r="482" spans="1:12" ht="17.25" customHeight="1" x14ac:dyDescent="0.25">
      <c r="A482" s="4" t="s">
        <v>563</v>
      </c>
      <c r="B482" s="61" t="s">
        <v>25</v>
      </c>
      <c r="C482" s="20" t="s">
        <v>602</v>
      </c>
      <c r="D482" s="60" t="s">
        <v>610</v>
      </c>
      <c r="E482" s="7" t="s">
        <v>6</v>
      </c>
      <c r="F482" s="38">
        <f t="shared" si="0"/>
        <v>4.7990400000000006E-7</v>
      </c>
      <c r="G482" t="s">
        <v>292</v>
      </c>
      <c r="H482" s="4" t="s">
        <v>291</v>
      </c>
      <c r="L482" s="41"/>
    </row>
    <row r="483" spans="1:12" ht="17.25" customHeight="1" x14ac:dyDescent="0.25">
      <c r="A483" s="4" t="s">
        <v>564</v>
      </c>
      <c r="B483" s="61" t="s">
        <v>25</v>
      </c>
      <c r="C483" s="20" t="s">
        <v>602</v>
      </c>
      <c r="D483" s="60" t="s">
        <v>611</v>
      </c>
      <c r="E483" s="7" t="s">
        <v>6</v>
      </c>
      <c r="F483" s="38">
        <f t="shared" si="0"/>
        <v>4.81904E-7</v>
      </c>
      <c r="G483" t="s">
        <v>292</v>
      </c>
      <c r="H483" s="4" t="s">
        <v>291</v>
      </c>
      <c r="L483" s="41"/>
    </row>
    <row r="484" spans="1:12" ht="17.25" customHeight="1" x14ac:dyDescent="0.25">
      <c r="A484" s="4" t="s">
        <v>565</v>
      </c>
      <c r="B484" s="61" t="s">
        <v>25</v>
      </c>
      <c r="C484" s="20" t="s">
        <v>602</v>
      </c>
      <c r="D484" s="60" t="s">
        <v>611</v>
      </c>
      <c r="E484" s="7" t="s">
        <v>6</v>
      </c>
      <c r="F484" s="38">
        <f t="shared" si="0"/>
        <v>4.81904E-7</v>
      </c>
      <c r="G484" t="s">
        <v>292</v>
      </c>
      <c r="H484" s="4" t="s">
        <v>291</v>
      </c>
      <c r="L484" s="41"/>
    </row>
    <row r="485" spans="1:12" ht="17.25" customHeight="1" x14ac:dyDescent="0.25">
      <c r="A485" s="4" t="s">
        <v>566</v>
      </c>
      <c r="B485" s="61" t="s">
        <v>25</v>
      </c>
      <c r="C485" s="20" t="s">
        <v>602</v>
      </c>
      <c r="D485" s="60" t="s">
        <v>605</v>
      </c>
      <c r="E485" s="7" t="s">
        <v>6</v>
      </c>
      <c r="F485" s="38">
        <f t="shared" si="0"/>
        <v>4.7510600000000007E-7</v>
      </c>
      <c r="G485" t="s">
        <v>292</v>
      </c>
      <c r="H485" s="4" t="s">
        <v>291</v>
      </c>
      <c r="L485" s="41"/>
    </row>
    <row r="486" spans="1:12" ht="17.25" customHeight="1" x14ac:dyDescent="0.25">
      <c r="A486" s="4" t="s">
        <v>567</v>
      </c>
      <c r="B486" s="61" t="s">
        <v>25</v>
      </c>
      <c r="C486" s="20" t="s">
        <v>602</v>
      </c>
      <c r="D486" s="60" t="s">
        <v>605</v>
      </c>
      <c r="E486" s="7" t="s">
        <v>6</v>
      </c>
      <c r="F486" s="38">
        <f t="shared" si="0"/>
        <v>4.7510600000000007E-7</v>
      </c>
      <c r="G486" t="s">
        <v>292</v>
      </c>
      <c r="H486" s="4" t="s">
        <v>291</v>
      </c>
      <c r="L486" s="41"/>
    </row>
    <row r="487" spans="1:12" ht="17.25" customHeight="1" x14ac:dyDescent="0.25">
      <c r="A487" s="4" t="s">
        <v>568</v>
      </c>
      <c r="B487" s="61" t="s">
        <v>25</v>
      </c>
      <c r="C487" s="20" t="s">
        <v>602</v>
      </c>
      <c r="D487" s="60" t="s">
        <v>626</v>
      </c>
      <c r="E487" s="7" t="s">
        <v>6</v>
      </c>
      <c r="F487" s="38">
        <f t="shared" si="0"/>
        <v>4.6712000000000002E-7</v>
      </c>
      <c r="G487" t="s">
        <v>292</v>
      </c>
      <c r="H487" s="4" t="s">
        <v>291</v>
      </c>
      <c r="L487" s="41"/>
    </row>
    <row r="488" spans="1:12" ht="17.25" customHeight="1" x14ac:dyDescent="0.25">
      <c r="A488" s="4" t="s">
        <v>569</v>
      </c>
      <c r="B488" s="61" t="s">
        <v>25</v>
      </c>
      <c r="C488" s="20" t="s">
        <v>602</v>
      </c>
      <c r="D488" s="60" t="s">
        <v>625</v>
      </c>
      <c r="E488" s="7" t="s">
        <v>6</v>
      </c>
      <c r="F488" s="38">
        <f t="shared" si="0"/>
        <v>4.8773999999999995E-7</v>
      </c>
      <c r="G488" t="s">
        <v>292</v>
      </c>
      <c r="H488" s="4" t="s">
        <v>291</v>
      </c>
      <c r="L488" s="41"/>
    </row>
    <row r="489" spans="1:12" ht="17.25" customHeight="1" x14ac:dyDescent="0.25">
      <c r="A489" s="4" t="s">
        <v>570</v>
      </c>
      <c r="B489" s="61" t="s">
        <v>25</v>
      </c>
      <c r="C489" s="20" t="s">
        <v>602</v>
      </c>
      <c r="D489" s="60" t="s">
        <v>627</v>
      </c>
      <c r="E489" s="7" t="s">
        <v>6</v>
      </c>
      <c r="F489" s="38">
        <f t="shared" si="0"/>
        <v>4.7023999999999995E-7</v>
      </c>
      <c r="G489" t="s">
        <v>292</v>
      </c>
      <c r="H489" s="4" t="s">
        <v>291</v>
      </c>
      <c r="L489" s="41"/>
    </row>
    <row r="490" spans="1:12" ht="17.25" customHeight="1" x14ac:dyDescent="0.25">
      <c r="A490" s="4" t="s">
        <v>571</v>
      </c>
      <c r="B490" s="61" t="s">
        <v>25</v>
      </c>
      <c r="C490" s="20" t="s">
        <v>602</v>
      </c>
      <c r="D490" s="60" t="s">
        <v>612</v>
      </c>
      <c r="E490" s="7" t="s">
        <v>6</v>
      </c>
      <c r="F490" s="38">
        <f t="shared" si="0"/>
        <v>4.8000000000000006E-7</v>
      </c>
      <c r="G490" t="s">
        <v>292</v>
      </c>
      <c r="H490" s="4" t="s">
        <v>291</v>
      </c>
      <c r="L490" s="41"/>
    </row>
    <row r="491" spans="1:12" ht="17.25" customHeight="1" x14ac:dyDescent="0.25">
      <c r="A491" s="4" t="s">
        <v>572</v>
      </c>
      <c r="B491" s="61" t="s">
        <v>25</v>
      </c>
      <c r="C491" s="20" t="s">
        <v>602</v>
      </c>
      <c r="D491" s="60" t="s">
        <v>613</v>
      </c>
      <c r="E491" s="7" t="s">
        <v>6</v>
      </c>
      <c r="F491" s="38">
        <f t="shared" si="0"/>
        <v>4.75E-7</v>
      </c>
      <c r="G491" t="s">
        <v>292</v>
      </c>
      <c r="H491" s="4" t="s">
        <v>291</v>
      </c>
      <c r="L491" s="41"/>
    </row>
    <row r="492" spans="1:12" ht="17.25" customHeight="1" x14ac:dyDescent="0.25">
      <c r="A492" s="4" t="s">
        <v>573</v>
      </c>
      <c r="B492" s="61" t="s">
        <v>25</v>
      </c>
      <c r="C492" s="20" t="s">
        <v>602</v>
      </c>
      <c r="D492" s="60" t="s">
        <v>628</v>
      </c>
      <c r="E492" s="7" t="s">
        <v>6</v>
      </c>
      <c r="F492" s="38">
        <f t="shared" si="0"/>
        <v>4.7336000000000005E-7</v>
      </c>
      <c r="G492" t="s">
        <v>292</v>
      </c>
      <c r="H492" s="4" t="s">
        <v>291</v>
      </c>
      <c r="L492" s="41"/>
    </row>
    <row r="493" spans="1:12" ht="17.25" customHeight="1" x14ac:dyDescent="0.25">
      <c r="A493" s="4" t="s">
        <v>574</v>
      </c>
      <c r="B493" s="61" t="s">
        <v>25</v>
      </c>
      <c r="C493" s="20" t="s">
        <v>602</v>
      </c>
      <c r="D493" s="60" t="s">
        <v>629</v>
      </c>
      <c r="E493" s="7" t="s">
        <v>6</v>
      </c>
      <c r="F493" s="38">
        <f t="shared" si="0"/>
        <v>4.7226000000000007E-7</v>
      </c>
      <c r="G493" t="s">
        <v>292</v>
      </c>
      <c r="H493" s="4" t="s">
        <v>291</v>
      </c>
      <c r="L493" s="41"/>
    </row>
    <row r="494" spans="1:12" ht="17.25" customHeight="1" x14ac:dyDescent="0.25">
      <c r="A494" s="4" t="s">
        <v>575</v>
      </c>
      <c r="B494" s="61" t="s">
        <v>25</v>
      </c>
      <c r="C494" s="20" t="s">
        <v>602</v>
      </c>
      <c r="D494" s="60" t="s">
        <v>630</v>
      </c>
      <c r="E494" s="7" t="s">
        <v>6</v>
      </c>
      <c r="F494" s="38">
        <f t="shared" si="0"/>
        <v>4.6226000000000006E-7</v>
      </c>
      <c r="G494" t="s">
        <v>292</v>
      </c>
      <c r="H494" s="4" t="s">
        <v>291</v>
      </c>
      <c r="L494" s="41"/>
    </row>
    <row r="495" spans="1:12" ht="17.25" customHeight="1" x14ac:dyDescent="0.25">
      <c r="A495" s="4" t="s">
        <v>576</v>
      </c>
      <c r="B495" s="61" t="s">
        <v>25</v>
      </c>
      <c r="C495" s="20" t="s">
        <v>602</v>
      </c>
      <c r="D495" s="60" t="s">
        <v>630</v>
      </c>
      <c r="E495" s="7" t="s">
        <v>6</v>
      </c>
      <c r="F495" s="38">
        <f t="shared" si="0"/>
        <v>4.6226000000000006E-7</v>
      </c>
      <c r="G495" t="s">
        <v>292</v>
      </c>
      <c r="H495" s="4" t="s">
        <v>291</v>
      </c>
      <c r="L495" s="41"/>
    </row>
    <row r="496" spans="1:12" ht="17.25" customHeight="1" x14ac:dyDescent="0.25">
      <c r="A496" s="4" t="s">
        <v>577</v>
      </c>
      <c r="B496" s="61" t="s">
        <v>25</v>
      </c>
      <c r="C496" s="20" t="s">
        <v>602</v>
      </c>
      <c r="D496" s="60" t="s">
        <v>614</v>
      </c>
      <c r="E496" s="7" t="s">
        <v>6</v>
      </c>
      <c r="F496" s="38">
        <f t="shared" si="0"/>
        <v>4.6240000000000001E-7</v>
      </c>
      <c r="G496" t="s">
        <v>292</v>
      </c>
      <c r="H496" s="4" t="s">
        <v>291</v>
      </c>
      <c r="L496" s="41"/>
    </row>
    <row r="497" spans="1:12" ht="17.25" customHeight="1" x14ac:dyDescent="0.25">
      <c r="A497" s="4" t="s">
        <v>578</v>
      </c>
      <c r="B497" s="61" t="s">
        <v>25</v>
      </c>
      <c r="C497" s="20" t="s">
        <v>602</v>
      </c>
      <c r="D497" s="60" t="s">
        <v>615</v>
      </c>
      <c r="E497" s="7" t="s">
        <v>6</v>
      </c>
      <c r="F497" s="38">
        <f t="shared" si="0"/>
        <v>4.644E-7</v>
      </c>
      <c r="G497" t="s">
        <v>292</v>
      </c>
      <c r="H497" s="4" t="s">
        <v>291</v>
      </c>
      <c r="L497" s="41"/>
    </row>
    <row r="498" spans="1:12" ht="17.25" customHeight="1" x14ac:dyDescent="0.25">
      <c r="A498" s="4" t="s">
        <v>579</v>
      </c>
      <c r="B498" s="61" t="s">
        <v>25</v>
      </c>
      <c r="C498" s="20" t="s">
        <v>602</v>
      </c>
      <c r="D498" s="60" t="s">
        <v>615</v>
      </c>
      <c r="E498" s="7" t="s">
        <v>6</v>
      </c>
      <c r="F498" s="38">
        <f t="shared" si="0"/>
        <v>4.644E-7</v>
      </c>
      <c r="G498" t="s">
        <v>292</v>
      </c>
      <c r="H498" s="4" t="s">
        <v>291</v>
      </c>
      <c r="L498" s="41"/>
    </row>
    <row r="499" spans="1:12" ht="17.25" customHeight="1" x14ac:dyDescent="0.25">
      <c r="A499" s="4" t="s">
        <v>580</v>
      </c>
      <c r="B499" s="61" t="s">
        <v>25</v>
      </c>
      <c r="C499" s="20" t="s">
        <v>602</v>
      </c>
      <c r="D499" s="60" t="s">
        <v>616</v>
      </c>
      <c r="E499" s="7" t="s">
        <v>6</v>
      </c>
      <c r="F499" s="38">
        <f t="shared" si="0"/>
        <v>4.5740000000000001E-7</v>
      </c>
      <c r="G499" t="s">
        <v>292</v>
      </c>
      <c r="H499" s="4" t="s">
        <v>291</v>
      </c>
      <c r="L499" s="41"/>
    </row>
    <row r="500" spans="1:12" ht="17.25" customHeight="1" x14ac:dyDescent="0.25">
      <c r="A500" s="4" t="s">
        <v>581</v>
      </c>
      <c r="B500" s="61" t="s">
        <v>25</v>
      </c>
      <c r="C500" s="20" t="s">
        <v>602</v>
      </c>
      <c r="D500" s="60" t="s">
        <v>617</v>
      </c>
      <c r="E500" s="7" t="s">
        <v>6</v>
      </c>
      <c r="F500" s="38">
        <f t="shared" si="0"/>
        <v>4.6140000000000004E-7</v>
      </c>
      <c r="G500" t="s">
        <v>292</v>
      </c>
      <c r="H500" s="4" t="s">
        <v>291</v>
      </c>
      <c r="L500" s="41"/>
    </row>
    <row r="501" spans="1:12" ht="17.25" customHeight="1" x14ac:dyDescent="0.25">
      <c r="A501" s="4" t="s">
        <v>582</v>
      </c>
      <c r="B501" s="61" t="s">
        <v>25</v>
      </c>
      <c r="C501" s="20" t="s">
        <v>602</v>
      </c>
      <c r="D501" s="60" t="s">
        <v>618</v>
      </c>
      <c r="E501" s="7" t="s">
        <v>6</v>
      </c>
      <c r="F501" s="38">
        <f t="shared" si="0"/>
        <v>4.7465000000000003E-7</v>
      </c>
      <c r="G501" t="s">
        <v>292</v>
      </c>
      <c r="H501" s="4" t="s">
        <v>291</v>
      </c>
      <c r="L501" s="41"/>
    </row>
    <row r="502" spans="1:12" ht="17.25" customHeight="1" x14ac:dyDescent="0.25">
      <c r="A502" s="4" t="s">
        <v>583</v>
      </c>
      <c r="B502" s="61" t="s">
        <v>25</v>
      </c>
      <c r="C502" s="20" t="s">
        <v>602</v>
      </c>
      <c r="D502" s="60" t="s">
        <v>631</v>
      </c>
      <c r="E502" s="7" t="s">
        <v>6</v>
      </c>
      <c r="F502" s="38">
        <f t="shared" si="0"/>
        <v>4.7480000000000004E-7</v>
      </c>
      <c r="G502" t="s">
        <v>292</v>
      </c>
      <c r="H502" s="4" t="s">
        <v>291</v>
      </c>
      <c r="L502" s="41"/>
    </row>
    <row r="503" spans="1:12" ht="17.25" customHeight="1" x14ac:dyDescent="0.25">
      <c r="A503" s="4" t="s">
        <v>584</v>
      </c>
      <c r="B503" s="61" t="s">
        <v>25</v>
      </c>
      <c r="C503" s="20" t="s">
        <v>602</v>
      </c>
      <c r="D503" s="60" t="s">
        <v>631</v>
      </c>
      <c r="E503" s="7" t="s">
        <v>6</v>
      </c>
      <c r="F503" s="38">
        <f t="shared" si="0"/>
        <v>4.7480000000000004E-7</v>
      </c>
      <c r="G503" t="s">
        <v>292</v>
      </c>
      <c r="H503" s="4" t="s">
        <v>291</v>
      </c>
      <c r="L503" s="41"/>
    </row>
    <row r="504" spans="1:12" ht="17.25" customHeight="1" x14ac:dyDescent="0.25">
      <c r="A504" s="4" t="s">
        <v>585</v>
      </c>
      <c r="B504" s="61" t="s">
        <v>25</v>
      </c>
      <c r="C504" s="20" t="s">
        <v>602</v>
      </c>
      <c r="D504" s="60" t="s">
        <v>631</v>
      </c>
      <c r="E504" s="7" t="s">
        <v>6</v>
      </c>
      <c r="F504" s="38">
        <f t="shared" si="0"/>
        <v>4.7480000000000004E-7</v>
      </c>
      <c r="G504" t="s">
        <v>292</v>
      </c>
      <c r="H504" s="4" t="s">
        <v>291</v>
      </c>
      <c r="L504" s="41"/>
    </row>
    <row r="505" spans="1:12" ht="17.25" customHeight="1" x14ac:dyDescent="0.25">
      <c r="A505" s="4" t="s">
        <v>33</v>
      </c>
      <c r="B505" s="61" t="s">
        <v>25</v>
      </c>
      <c r="C505" s="20" t="s">
        <v>602</v>
      </c>
      <c r="D505" s="60" t="s">
        <v>619</v>
      </c>
      <c r="E505" s="7" t="s">
        <v>6</v>
      </c>
      <c r="F505" s="38">
        <f t="shared" si="0"/>
        <v>4.6810000000000002E-7</v>
      </c>
      <c r="G505" t="s">
        <v>292</v>
      </c>
      <c r="H505" s="4" t="s">
        <v>291</v>
      </c>
      <c r="L505" s="41"/>
    </row>
    <row r="506" spans="1:12" ht="17.25" customHeight="1" x14ac:dyDescent="0.25">
      <c r="A506" s="4" t="s">
        <v>586</v>
      </c>
      <c r="B506" s="61" t="s">
        <v>25</v>
      </c>
      <c r="C506" s="20" t="s">
        <v>602</v>
      </c>
      <c r="D506" s="60" t="s">
        <v>632</v>
      </c>
      <c r="E506" s="7" t="s">
        <v>6</v>
      </c>
      <c r="F506" s="38">
        <f t="shared" si="0"/>
        <v>4.665E-7</v>
      </c>
      <c r="G506" t="s">
        <v>292</v>
      </c>
      <c r="H506" s="4" t="s">
        <v>291</v>
      </c>
      <c r="L506" s="41"/>
    </row>
    <row r="507" spans="1:12" ht="17.25" customHeight="1" x14ac:dyDescent="0.25">
      <c r="A507" s="4" t="s">
        <v>587</v>
      </c>
      <c r="B507" s="61" t="s">
        <v>25</v>
      </c>
      <c r="C507" s="20" t="s">
        <v>602</v>
      </c>
      <c r="D507" s="60" t="s">
        <v>633</v>
      </c>
      <c r="E507" s="7" t="s">
        <v>6</v>
      </c>
      <c r="F507" s="38">
        <f t="shared" si="0"/>
        <v>4.6550000000000003E-7</v>
      </c>
      <c r="G507" t="s">
        <v>292</v>
      </c>
      <c r="H507" s="4" t="s">
        <v>291</v>
      </c>
      <c r="L507" s="41"/>
    </row>
    <row r="508" spans="1:12" ht="17.25" customHeight="1" x14ac:dyDescent="0.25">
      <c r="A508" s="4" t="s">
        <v>588</v>
      </c>
      <c r="B508" s="61" t="s">
        <v>25</v>
      </c>
      <c r="C508" s="20" t="s">
        <v>602</v>
      </c>
      <c r="D508" s="60" t="s">
        <v>634</v>
      </c>
      <c r="E508" s="7" t="s">
        <v>6</v>
      </c>
      <c r="F508" s="38">
        <f t="shared" si="0"/>
        <v>4.6210000000000004E-7</v>
      </c>
      <c r="G508" t="s">
        <v>292</v>
      </c>
      <c r="H508" s="4" t="s">
        <v>291</v>
      </c>
      <c r="L508" s="41"/>
    </row>
    <row r="509" spans="1:12" ht="17.25" customHeight="1" x14ac:dyDescent="0.25">
      <c r="A509" s="4" t="s">
        <v>589</v>
      </c>
      <c r="B509" s="61" t="s">
        <v>25</v>
      </c>
      <c r="C509" s="20" t="s">
        <v>602</v>
      </c>
      <c r="D509" s="60" t="s">
        <v>635</v>
      </c>
      <c r="E509" s="7" t="s">
        <v>6</v>
      </c>
      <c r="F509" s="38">
        <f t="shared" si="0"/>
        <v>4.7810000000000003E-7</v>
      </c>
      <c r="G509" t="s">
        <v>292</v>
      </c>
      <c r="H509" s="4" t="s">
        <v>291</v>
      </c>
      <c r="L509" s="41"/>
    </row>
    <row r="510" spans="1:12" ht="17.25" customHeight="1" x14ac:dyDescent="0.25">
      <c r="A510" s="4" t="s">
        <v>590</v>
      </c>
      <c r="B510" s="61" t="s">
        <v>25</v>
      </c>
      <c r="C510" s="20" t="s">
        <v>602</v>
      </c>
      <c r="D510" s="60" t="s">
        <v>636</v>
      </c>
      <c r="E510" s="7" t="s">
        <v>6</v>
      </c>
      <c r="F510" s="38">
        <f t="shared" si="0"/>
        <v>4.6811999999999999E-7</v>
      </c>
      <c r="G510" t="s">
        <v>292</v>
      </c>
      <c r="H510" s="4" t="s">
        <v>291</v>
      </c>
      <c r="L510" s="41"/>
    </row>
    <row r="511" spans="1:12" ht="17.25" customHeight="1" x14ac:dyDescent="0.25">
      <c r="A511" s="4" t="s">
        <v>591</v>
      </c>
      <c r="B511" s="61" t="s">
        <v>25</v>
      </c>
      <c r="C511" s="20" t="s">
        <v>602</v>
      </c>
      <c r="D511" s="60" t="s">
        <v>637</v>
      </c>
      <c r="E511" s="7" t="s">
        <v>6</v>
      </c>
      <c r="F511" s="38">
        <f t="shared" si="0"/>
        <v>4.7714E-7</v>
      </c>
      <c r="G511" t="s">
        <v>292</v>
      </c>
      <c r="H511" s="4" t="s">
        <v>291</v>
      </c>
      <c r="L511" s="41"/>
    </row>
    <row r="512" spans="1:12" ht="17.25" customHeight="1" x14ac:dyDescent="0.25">
      <c r="A512" s="4" t="s">
        <v>592</v>
      </c>
      <c r="B512" s="61" t="s">
        <v>25</v>
      </c>
      <c r="C512" s="20" t="s">
        <v>602</v>
      </c>
      <c r="D512" s="60" t="s">
        <v>638</v>
      </c>
      <c r="E512" s="7" t="s">
        <v>6</v>
      </c>
      <c r="F512" s="38">
        <f t="shared" si="0"/>
        <v>4.7063999999999998E-7</v>
      </c>
      <c r="G512" t="s">
        <v>292</v>
      </c>
      <c r="H512" s="4" t="s">
        <v>291</v>
      </c>
      <c r="L512" s="41"/>
    </row>
    <row r="513" spans="1:12" ht="17.25" customHeight="1" x14ac:dyDescent="0.25">
      <c r="A513" s="4" t="s">
        <v>593</v>
      </c>
      <c r="B513" s="61" t="s">
        <v>25</v>
      </c>
      <c r="C513" s="20" t="s">
        <v>602</v>
      </c>
      <c r="D513" s="60" t="s">
        <v>620</v>
      </c>
      <c r="E513" s="7" t="s">
        <v>6</v>
      </c>
      <c r="F513" s="38">
        <f t="shared" si="0"/>
        <v>4.7240000000000002E-7</v>
      </c>
      <c r="G513" t="s">
        <v>292</v>
      </c>
      <c r="H513" s="4" t="s">
        <v>291</v>
      </c>
      <c r="L513" s="41"/>
    </row>
    <row r="514" spans="1:12" ht="17.25" customHeight="1" x14ac:dyDescent="0.25">
      <c r="A514" s="4" t="s">
        <v>594</v>
      </c>
      <c r="B514" s="61" t="s">
        <v>25</v>
      </c>
      <c r="C514" s="20" t="s">
        <v>602</v>
      </c>
      <c r="D514" s="60" t="s">
        <v>639</v>
      </c>
      <c r="E514" s="7" t="s">
        <v>6</v>
      </c>
      <c r="F514" s="38">
        <f t="shared" si="0"/>
        <v>4.7444000000000001E-7</v>
      </c>
      <c r="G514" t="s">
        <v>292</v>
      </c>
      <c r="H514" s="4" t="s">
        <v>291</v>
      </c>
      <c r="L514" s="41"/>
    </row>
    <row r="515" spans="1:12" ht="17.25" customHeight="1" x14ac:dyDescent="0.25">
      <c r="A515" s="4" t="s">
        <v>595</v>
      </c>
      <c r="B515" s="61" t="s">
        <v>25</v>
      </c>
      <c r="C515" s="20" t="s">
        <v>602</v>
      </c>
      <c r="D515" s="60" t="s">
        <v>640</v>
      </c>
      <c r="E515" s="7" t="s">
        <v>6</v>
      </c>
      <c r="F515" s="38">
        <f t="shared" si="0"/>
        <v>4.7644E-7</v>
      </c>
      <c r="G515" t="s">
        <v>292</v>
      </c>
      <c r="H515" s="4" t="s">
        <v>291</v>
      </c>
      <c r="L515" s="41"/>
    </row>
    <row r="516" spans="1:12" ht="17.25" customHeight="1" x14ac:dyDescent="0.25">
      <c r="A516" s="4" t="s">
        <v>596</v>
      </c>
      <c r="B516" s="61" t="s">
        <v>25</v>
      </c>
      <c r="C516" s="20" t="s">
        <v>602</v>
      </c>
      <c r="D516" s="60" t="s">
        <v>641</v>
      </c>
      <c r="E516" s="7" t="s">
        <v>6</v>
      </c>
      <c r="F516" s="38">
        <f t="shared" si="0"/>
        <v>4.7059999999999999E-7</v>
      </c>
      <c r="G516" t="s">
        <v>292</v>
      </c>
      <c r="H516" s="4" t="s">
        <v>291</v>
      </c>
      <c r="L516" s="41"/>
    </row>
    <row r="517" spans="1:12" ht="17.25" customHeight="1" x14ac:dyDescent="0.25">
      <c r="A517" s="4" t="s">
        <v>597</v>
      </c>
      <c r="B517" s="61" t="s">
        <v>25</v>
      </c>
      <c r="C517" s="20" t="s">
        <v>602</v>
      </c>
      <c r="D517" s="60" t="s">
        <v>641</v>
      </c>
      <c r="E517" s="7" t="s">
        <v>6</v>
      </c>
      <c r="F517" s="38">
        <f t="shared" si="0"/>
        <v>4.7059999999999999E-7</v>
      </c>
      <c r="G517" t="s">
        <v>292</v>
      </c>
      <c r="H517" s="4" t="s">
        <v>291</v>
      </c>
      <c r="L517" s="41"/>
    </row>
    <row r="518" spans="1:12" ht="17.25" customHeight="1" x14ac:dyDescent="0.25">
      <c r="A518" s="4" t="s">
        <v>598</v>
      </c>
      <c r="B518" s="61" t="s">
        <v>25</v>
      </c>
      <c r="C518" s="20" t="s">
        <v>602</v>
      </c>
      <c r="D518" s="60" t="s">
        <v>641</v>
      </c>
      <c r="E518" s="7" t="s">
        <v>6</v>
      </c>
      <c r="F518" s="38">
        <f t="shared" si="0"/>
        <v>4.7059999999999999E-7</v>
      </c>
      <c r="G518" t="s">
        <v>292</v>
      </c>
      <c r="H518" s="4" t="s">
        <v>291</v>
      </c>
      <c r="L518" s="41"/>
    </row>
    <row r="519" spans="1:12" ht="17.25" customHeight="1" x14ac:dyDescent="0.25">
      <c r="A519" s="4" t="s">
        <v>599</v>
      </c>
      <c r="B519" s="61" t="s">
        <v>25</v>
      </c>
      <c r="C519" s="20" t="s">
        <v>602</v>
      </c>
      <c r="D519" s="60" t="s">
        <v>642</v>
      </c>
      <c r="E519" s="7" t="s">
        <v>6</v>
      </c>
      <c r="F519" s="38">
        <f t="shared" si="0"/>
        <v>4.7660000000000002E-7</v>
      </c>
      <c r="G519" t="s">
        <v>292</v>
      </c>
      <c r="H519" s="4" t="s">
        <v>291</v>
      </c>
      <c r="L519" s="41"/>
    </row>
    <row r="520" spans="1:12" ht="17.25" customHeight="1" x14ac:dyDescent="0.25">
      <c r="A520" s="4" t="s">
        <v>600</v>
      </c>
      <c r="B520" s="61" t="s">
        <v>25</v>
      </c>
      <c r="C520" s="20" t="s">
        <v>602</v>
      </c>
      <c r="D520" s="60" t="s">
        <v>643</v>
      </c>
      <c r="E520" s="7" t="s">
        <v>6</v>
      </c>
      <c r="F520" s="38">
        <f t="shared" si="0"/>
        <v>4.7759999999999999E-7</v>
      </c>
      <c r="G520" t="s">
        <v>292</v>
      </c>
      <c r="H520" s="4" t="s">
        <v>291</v>
      </c>
      <c r="L520" s="41"/>
    </row>
    <row r="521" spans="1:12" ht="17.25" customHeight="1" x14ac:dyDescent="0.25">
      <c r="A521" s="4" t="s">
        <v>601</v>
      </c>
      <c r="B521" s="61" t="s">
        <v>25</v>
      </c>
      <c r="C521" s="20" t="s">
        <v>602</v>
      </c>
      <c r="D521" s="60" t="s">
        <v>644</v>
      </c>
      <c r="E521" s="7" t="s">
        <v>6</v>
      </c>
      <c r="F521" s="38">
        <f t="shared" si="0"/>
        <v>4.806E-7</v>
      </c>
      <c r="G521" t="s">
        <v>292</v>
      </c>
      <c r="H521" s="4" t="s">
        <v>291</v>
      </c>
      <c r="L521" s="41"/>
    </row>
    <row r="522" spans="1:12" x14ac:dyDescent="0.25">
      <c r="A522" s="4" t="s">
        <v>646</v>
      </c>
      <c r="B522" s="61" t="s">
        <v>25</v>
      </c>
      <c r="C522" s="20" t="s">
        <v>602</v>
      </c>
      <c r="D522" s="60">
        <v>1</v>
      </c>
      <c r="E522" s="7" t="s">
        <v>6</v>
      </c>
      <c r="F522" s="38">
        <v>4.0000000000000001E-10</v>
      </c>
      <c r="G522" t="s">
        <v>292</v>
      </c>
      <c r="H522" s="4" t="s">
        <v>647</v>
      </c>
      <c r="L522" s="41" t="s">
        <v>664</v>
      </c>
    </row>
    <row r="523" spans="1:12" ht="17.25" customHeight="1" x14ac:dyDescent="0.25">
      <c r="A523" s="46" t="s">
        <v>648</v>
      </c>
      <c r="B523" s="48" t="s">
        <v>25</v>
      </c>
      <c r="C523" s="43" t="s">
        <v>602</v>
      </c>
      <c r="D523" s="44">
        <v>108</v>
      </c>
      <c r="E523" s="45" t="s">
        <v>6</v>
      </c>
      <c r="F523">
        <f>0.0000000333*108</f>
        <v>3.5964E-6</v>
      </c>
      <c r="G523" t="s">
        <v>292</v>
      </c>
      <c r="H523" s="4" t="s">
        <v>649</v>
      </c>
      <c r="L523" s="41"/>
    </row>
    <row r="524" spans="1:12" x14ac:dyDescent="0.25">
      <c r="A524" s="46"/>
      <c r="B524" s="48"/>
      <c r="C524" s="43"/>
      <c r="D524" s="44"/>
      <c r="E524" s="45"/>
      <c r="F524">
        <f>0.00000667*108</f>
        <v>7.2035999999999997E-4</v>
      </c>
      <c r="G524" t="s">
        <v>292</v>
      </c>
      <c r="H524" s="4" t="s">
        <v>650</v>
      </c>
      <c r="L524" s="41"/>
    </row>
    <row r="525" spans="1:12" ht="15.75" customHeight="1" x14ac:dyDescent="0.25">
      <c r="A525" s="34" t="s">
        <v>651</v>
      </c>
      <c r="B525" s="61" t="s">
        <v>25</v>
      </c>
      <c r="C525" s="20" t="s">
        <v>602</v>
      </c>
      <c r="D525" s="60">
        <v>1</v>
      </c>
      <c r="E525" s="7" t="s">
        <v>6</v>
      </c>
      <c r="F525" s="38">
        <v>4.0000000000000001E-10</v>
      </c>
      <c r="G525" t="s">
        <v>292</v>
      </c>
      <c r="H525" s="4" t="s">
        <v>647</v>
      </c>
      <c r="L525" s="41"/>
    </row>
    <row r="526" spans="1:12" ht="15.75" customHeight="1" x14ac:dyDescent="0.25">
      <c r="A526" s="34" t="s">
        <v>652</v>
      </c>
      <c r="B526" s="61" t="s">
        <v>25</v>
      </c>
      <c r="C526" s="20" t="s">
        <v>602</v>
      </c>
      <c r="D526" s="60">
        <v>1</v>
      </c>
      <c r="E526" s="7" t="s">
        <v>6</v>
      </c>
      <c r="F526" s="38">
        <v>4.0000000000000001E-10</v>
      </c>
      <c r="G526" t="s">
        <v>292</v>
      </c>
      <c r="H526" s="4" t="s">
        <v>647</v>
      </c>
      <c r="L526" s="41"/>
    </row>
    <row r="527" spans="1:12" ht="16.5" customHeight="1" x14ac:dyDescent="0.25">
      <c r="A527" s="34" t="s">
        <v>653</v>
      </c>
      <c r="B527" s="61" t="s">
        <v>25</v>
      </c>
      <c r="C527" s="20" t="s">
        <v>602</v>
      </c>
      <c r="D527" s="60">
        <v>1</v>
      </c>
      <c r="E527" s="7" t="s">
        <v>6</v>
      </c>
      <c r="F527" s="38">
        <v>4.0000000000000001E-10</v>
      </c>
      <c r="G527" t="s">
        <v>292</v>
      </c>
      <c r="H527" s="4" t="s">
        <v>647</v>
      </c>
      <c r="L527" s="41"/>
    </row>
    <row r="528" spans="1:12" x14ac:dyDescent="0.25">
      <c r="A528" s="34" t="s">
        <v>654</v>
      </c>
      <c r="B528" s="61" t="s">
        <v>25</v>
      </c>
      <c r="C528" s="20" t="s">
        <v>602</v>
      </c>
      <c r="D528" s="60">
        <v>1</v>
      </c>
      <c r="E528" s="7" t="s">
        <v>6</v>
      </c>
      <c r="F528" s="38">
        <v>4.0000000000000001E-10</v>
      </c>
      <c r="G528" t="s">
        <v>292</v>
      </c>
      <c r="H528" s="4" t="s">
        <v>647</v>
      </c>
      <c r="L528" s="41"/>
    </row>
    <row r="529" spans="1:12" ht="15" customHeight="1" x14ac:dyDescent="0.25">
      <c r="A529" s="34" t="s">
        <v>657</v>
      </c>
      <c r="B529" s="61" t="s">
        <v>25</v>
      </c>
      <c r="C529" s="20" t="s">
        <v>602</v>
      </c>
      <c r="D529" s="60">
        <v>1</v>
      </c>
      <c r="E529" s="7" t="s">
        <v>6</v>
      </c>
      <c r="F529" s="38">
        <v>3.3300000000000001E-12</v>
      </c>
      <c r="G529" t="s">
        <v>292</v>
      </c>
      <c r="H529" s="4" t="s">
        <v>658</v>
      </c>
      <c r="L529" s="41"/>
    </row>
    <row r="530" spans="1:12" x14ac:dyDescent="0.25">
      <c r="A530" s="34" t="s">
        <v>659</v>
      </c>
      <c r="B530" s="61" t="s">
        <v>25</v>
      </c>
      <c r="C530" s="20" t="s">
        <v>602</v>
      </c>
      <c r="D530" s="60">
        <v>1</v>
      </c>
      <c r="E530" s="7" t="s">
        <v>6</v>
      </c>
      <c r="F530" s="38">
        <v>4.0000000000000001E-10</v>
      </c>
      <c r="G530" t="s">
        <v>292</v>
      </c>
      <c r="H530" s="4" t="s">
        <v>647</v>
      </c>
      <c r="L530" s="41"/>
    </row>
    <row r="531" spans="1:12" x14ac:dyDescent="0.25">
      <c r="A531" s="34" t="s">
        <v>660</v>
      </c>
      <c r="B531" s="61" t="s">
        <v>25</v>
      </c>
      <c r="C531" s="20" t="s">
        <v>602</v>
      </c>
      <c r="D531" s="60">
        <v>1</v>
      </c>
      <c r="E531" s="7" t="s">
        <v>6</v>
      </c>
      <c r="F531" s="38">
        <v>5.9099999999999995E-11</v>
      </c>
      <c r="G531" t="s">
        <v>292</v>
      </c>
      <c r="H531" s="4" t="s">
        <v>661</v>
      </c>
      <c r="L531" s="41"/>
    </row>
    <row r="532" spans="1:12" x14ac:dyDescent="0.25">
      <c r="A532" s="34" t="s">
        <v>662</v>
      </c>
      <c r="B532" s="61" t="s">
        <v>25</v>
      </c>
      <c r="C532" s="20" t="s">
        <v>602</v>
      </c>
      <c r="D532" s="60">
        <v>1</v>
      </c>
      <c r="E532" s="7" t="s">
        <v>6</v>
      </c>
      <c r="F532" s="38">
        <v>5.9099999999999995E-11</v>
      </c>
      <c r="G532" t="s">
        <v>292</v>
      </c>
      <c r="H532" s="4" t="s">
        <v>661</v>
      </c>
      <c r="L532" s="41"/>
    </row>
    <row r="533" spans="1:12" ht="18" customHeight="1" x14ac:dyDescent="0.25">
      <c r="A533" s="34" t="s">
        <v>663</v>
      </c>
      <c r="B533" s="61" t="s">
        <v>25</v>
      </c>
      <c r="C533" s="20" t="s">
        <v>602</v>
      </c>
      <c r="D533" s="60">
        <v>1</v>
      </c>
      <c r="E533" s="7" t="s">
        <v>6</v>
      </c>
      <c r="F533" s="38">
        <v>4.0000000000000001E-10</v>
      </c>
      <c r="G533" t="s">
        <v>292</v>
      </c>
      <c r="H533" s="4" t="s">
        <v>647</v>
      </c>
      <c r="L533" s="41"/>
    </row>
    <row r="534" spans="1:12" x14ac:dyDescent="0.25">
      <c r="A534" s="34"/>
      <c r="B534" s="59"/>
      <c r="C534" s="20"/>
      <c r="D534" s="60"/>
      <c r="E534" s="7"/>
      <c r="L534" s="34"/>
    </row>
    <row r="535" spans="1:12" x14ac:dyDescent="0.25">
      <c r="B535" s="1"/>
      <c r="L535" s="4"/>
    </row>
    <row r="536" spans="1:12" x14ac:dyDescent="0.25">
      <c r="B536" s="1"/>
      <c r="L536" s="4"/>
    </row>
    <row r="537" spans="1:12" x14ac:dyDescent="0.25">
      <c r="L537" s="4"/>
    </row>
    <row r="538" spans="1:12" x14ac:dyDescent="0.25">
      <c r="A538" s="16" t="s">
        <v>13</v>
      </c>
      <c r="L538" s="4"/>
    </row>
    <row r="539" spans="1:12" x14ac:dyDescent="0.25">
      <c r="A539" s="4" t="s">
        <v>37</v>
      </c>
      <c r="L539" s="4"/>
    </row>
    <row r="540" spans="1:12" x14ac:dyDescent="0.25">
      <c r="A540" s="4" t="s">
        <v>38</v>
      </c>
      <c r="L540" s="4"/>
    </row>
    <row r="541" spans="1:12" x14ac:dyDescent="0.25">
      <c r="A541" s="4" t="s">
        <v>39</v>
      </c>
      <c r="L541" s="4"/>
    </row>
    <row r="542" spans="1:12" x14ac:dyDescent="0.25">
      <c r="A542" s="4" t="s">
        <v>40</v>
      </c>
      <c r="L542" s="4"/>
    </row>
    <row r="543" spans="1:12" x14ac:dyDescent="0.25">
      <c r="A543" s="4" t="s">
        <v>41</v>
      </c>
      <c r="L543" s="4"/>
    </row>
    <row r="544" spans="1:12" x14ac:dyDescent="0.25">
      <c r="A544" s="4" t="s">
        <v>42</v>
      </c>
      <c r="L544" s="4"/>
    </row>
    <row r="545" spans="1:12" x14ac:dyDescent="0.25">
      <c r="A545" s="4" t="s">
        <v>43</v>
      </c>
      <c r="L545" s="4"/>
    </row>
    <row r="546" spans="1:12" x14ac:dyDescent="0.25">
      <c r="A546" s="4" t="s">
        <v>44</v>
      </c>
      <c r="L546" s="4"/>
    </row>
    <row r="547" spans="1:12" x14ac:dyDescent="0.25">
      <c r="A547" s="4" t="s">
        <v>45</v>
      </c>
      <c r="L547" s="4"/>
    </row>
    <row r="548" spans="1:12" x14ac:dyDescent="0.25">
      <c r="A548" s="4" t="s">
        <v>46</v>
      </c>
      <c r="L548" s="4"/>
    </row>
    <row r="549" spans="1:12" x14ac:dyDescent="0.25">
      <c r="A549" s="4" t="s">
        <v>47</v>
      </c>
      <c r="L549" s="4"/>
    </row>
    <row r="550" spans="1:12" x14ac:dyDescent="0.25">
      <c r="A550" s="4" t="s">
        <v>48</v>
      </c>
      <c r="L550" s="4"/>
    </row>
    <row r="551" spans="1:12" x14ac:dyDescent="0.25">
      <c r="A551" s="4" t="s">
        <v>49</v>
      </c>
      <c r="L551" s="4"/>
    </row>
    <row r="552" spans="1:12" x14ac:dyDescent="0.25">
      <c r="A552" s="4" t="s">
        <v>50</v>
      </c>
      <c r="L552" s="4"/>
    </row>
    <row r="553" spans="1:12" x14ac:dyDescent="0.25">
      <c r="A553" s="4" t="s">
        <v>51</v>
      </c>
      <c r="L553" s="4"/>
    </row>
    <row r="554" spans="1:12" x14ac:dyDescent="0.25">
      <c r="A554" s="4" t="s">
        <v>52</v>
      </c>
      <c r="L554" s="4"/>
    </row>
    <row r="555" spans="1:12" x14ac:dyDescent="0.25">
      <c r="A555" s="4" t="s">
        <v>53</v>
      </c>
      <c r="L555" s="4"/>
    </row>
    <row r="556" spans="1:12" x14ac:dyDescent="0.25">
      <c r="A556" s="4" t="s">
        <v>54</v>
      </c>
      <c r="L556" s="4"/>
    </row>
    <row r="557" spans="1:12" x14ac:dyDescent="0.25">
      <c r="A557" s="4" t="s">
        <v>55</v>
      </c>
      <c r="L557" s="4"/>
    </row>
    <row r="558" spans="1:12" x14ac:dyDescent="0.25">
      <c r="A558" s="4" t="s">
        <v>57</v>
      </c>
      <c r="L558" s="4"/>
    </row>
    <row r="559" spans="1:12" x14ac:dyDescent="0.25">
      <c r="A559" s="4" t="s">
        <v>58</v>
      </c>
      <c r="L559" s="4"/>
    </row>
    <row r="560" spans="1:12" x14ac:dyDescent="0.25">
      <c r="A560" s="4" t="s">
        <v>59</v>
      </c>
    </row>
    <row r="561" spans="1:1" x14ac:dyDescent="0.25">
      <c r="A561" s="4" t="s">
        <v>60</v>
      </c>
    </row>
    <row r="562" spans="1:1" x14ac:dyDescent="0.25">
      <c r="A562" s="4" t="s">
        <v>61</v>
      </c>
    </row>
    <row r="563" spans="1:1" x14ac:dyDescent="0.25">
      <c r="A563" s="4" t="s">
        <v>62</v>
      </c>
    </row>
    <row r="564" spans="1:1" x14ac:dyDescent="0.25">
      <c r="A564" s="4" t="s">
        <v>63</v>
      </c>
    </row>
    <row r="565" spans="1:1" x14ac:dyDescent="0.25">
      <c r="A565" s="4" t="s">
        <v>64</v>
      </c>
    </row>
    <row r="566" spans="1:1" x14ac:dyDescent="0.25">
      <c r="A566" s="4" t="s">
        <v>65</v>
      </c>
    </row>
    <row r="567" spans="1:1" x14ac:dyDescent="0.25">
      <c r="A567" s="4" t="s">
        <v>66</v>
      </c>
    </row>
    <row r="568" spans="1:1" x14ac:dyDescent="0.25">
      <c r="A568" s="4" t="s">
        <v>67</v>
      </c>
    </row>
    <row r="569" spans="1:1" x14ac:dyDescent="0.25">
      <c r="A569" s="4" t="s">
        <v>68</v>
      </c>
    </row>
    <row r="570" spans="1:1" x14ac:dyDescent="0.25">
      <c r="A570" s="4" t="s">
        <v>69</v>
      </c>
    </row>
    <row r="571" spans="1:1" x14ac:dyDescent="0.25">
      <c r="A571" s="4" t="s">
        <v>70</v>
      </c>
    </row>
    <row r="572" spans="1:1" x14ac:dyDescent="0.25">
      <c r="A572" s="4" t="s">
        <v>71</v>
      </c>
    </row>
    <row r="573" spans="1:1" x14ac:dyDescent="0.25">
      <c r="A573" s="4" t="s">
        <v>72</v>
      </c>
    </row>
    <row r="574" spans="1:1" x14ac:dyDescent="0.25">
      <c r="A574" s="4" t="s">
        <v>73</v>
      </c>
    </row>
    <row r="575" spans="1:1" x14ac:dyDescent="0.25">
      <c r="A575" s="4" t="s">
        <v>74</v>
      </c>
    </row>
    <row r="576" spans="1:1" x14ac:dyDescent="0.25">
      <c r="A576" s="4" t="s">
        <v>75</v>
      </c>
    </row>
    <row r="577" spans="1:1" x14ac:dyDescent="0.25">
      <c r="A577" s="4" t="s">
        <v>76</v>
      </c>
    </row>
    <row r="578" spans="1:1" x14ac:dyDescent="0.25">
      <c r="A578" s="4" t="s">
        <v>77</v>
      </c>
    </row>
    <row r="579" spans="1:1" x14ac:dyDescent="0.25">
      <c r="A579" s="4" t="s">
        <v>78</v>
      </c>
    </row>
    <row r="580" spans="1:1" x14ac:dyDescent="0.25">
      <c r="A580" s="4" t="s">
        <v>79</v>
      </c>
    </row>
    <row r="581" spans="1:1" x14ac:dyDescent="0.25">
      <c r="A581" s="4" t="s">
        <v>80</v>
      </c>
    </row>
    <row r="582" spans="1:1" x14ac:dyDescent="0.25">
      <c r="A582" s="4" t="s">
        <v>81</v>
      </c>
    </row>
    <row r="583" spans="1:1" x14ac:dyDescent="0.25">
      <c r="A583" s="4" t="s">
        <v>82</v>
      </c>
    </row>
    <row r="584" spans="1:1" x14ac:dyDescent="0.25">
      <c r="A584" s="4" t="s">
        <v>83</v>
      </c>
    </row>
    <row r="585" spans="1:1" x14ac:dyDescent="0.25">
      <c r="A585" s="4" t="s">
        <v>84</v>
      </c>
    </row>
    <row r="586" spans="1:1" x14ac:dyDescent="0.25">
      <c r="A586" s="4" t="s">
        <v>85</v>
      </c>
    </row>
    <row r="587" spans="1:1" x14ac:dyDescent="0.25">
      <c r="A587" s="4" t="s">
        <v>86</v>
      </c>
    </row>
    <row r="588" spans="1:1" x14ac:dyDescent="0.25">
      <c r="A588" s="4" t="s">
        <v>87</v>
      </c>
    </row>
    <row r="589" spans="1:1" x14ac:dyDescent="0.25">
      <c r="A589" s="4" t="s">
        <v>88</v>
      </c>
    </row>
    <row r="590" spans="1:1" x14ac:dyDescent="0.25">
      <c r="A590" s="4" t="s">
        <v>89</v>
      </c>
    </row>
    <row r="591" spans="1:1" x14ac:dyDescent="0.25">
      <c r="A591" s="4" t="s">
        <v>90</v>
      </c>
    </row>
    <row r="592" spans="1:1" x14ac:dyDescent="0.25">
      <c r="A592" s="4" t="s">
        <v>91</v>
      </c>
    </row>
    <row r="593" spans="1:1" x14ac:dyDescent="0.25">
      <c r="A593" s="4" t="s">
        <v>92</v>
      </c>
    </row>
    <row r="594" spans="1:1" x14ac:dyDescent="0.25">
      <c r="A594" s="4" t="s">
        <v>93</v>
      </c>
    </row>
    <row r="595" spans="1:1" x14ac:dyDescent="0.25">
      <c r="A595" s="4" t="s">
        <v>94</v>
      </c>
    </row>
    <row r="596" spans="1:1" x14ac:dyDescent="0.25">
      <c r="A596" s="4" t="s">
        <v>95</v>
      </c>
    </row>
    <row r="597" spans="1:1" x14ac:dyDescent="0.25">
      <c r="A597" s="4" t="s">
        <v>96</v>
      </c>
    </row>
    <row r="598" spans="1:1" x14ac:dyDescent="0.25">
      <c r="A598" s="4" t="s">
        <v>97</v>
      </c>
    </row>
    <row r="599" spans="1:1" x14ac:dyDescent="0.25">
      <c r="A599" s="4" t="s">
        <v>98</v>
      </c>
    </row>
    <row r="600" spans="1:1" x14ac:dyDescent="0.25">
      <c r="A600" s="4" t="s">
        <v>99</v>
      </c>
    </row>
    <row r="601" spans="1:1" x14ac:dyDescent="0.25">
      <c r="A601" s="4" t="s">
        <v>100</v>
      </c>
    </row>
    <row r="602" spans="1:1" x14ac:dyDescent="0.25">
      <c r="A602" s="4" t="s">
        <v>101</v>
      </c>
    </row>
    <row r="603" spans="1:1" x14ac:dyDescent="0.25">
      <c r="A603" s="4" t="s">
        <v>102</v>
      </c>
    </row>
    <row r="604" spans="1:1" x14ac:dyDescent="0.25">
      <c r="A604" s="4" t="s">
        <v>103</v>
      </c>
    </row>
    <row r="605" spans="1:1" x14ac:dyDescent="0.25">
      <c r="A605" s="4" t="s">
        <v>104</v>
      </c>
    </row>
    <row r="606" spans="1:1" x14ac:dyDescent="0.25">
      <c r="A606" s="4" t="s">
        <v>105</v>
      </c>
    </row>
    <row r="607" spans="1:1" x14ac:dyDescent="0.25">
      <c r="A607" s="4" t="s">
        <v>106</v>
      </c>
    </row>
    <row r="608" spans="1:1" x14ac:dyDescent="0.25">
      <c r="A608" s="4" t="s">
        <v>107</v>
      </c>
    </row>
    <row r="609" spans="1:1" x14ac:dyDescent="0.25">
      <c r="A609" s="4" t="s">
        <v>108</v>
      </c>
    </row>
    <row r="610" spans="1:1" x14ac:dyDescent="0.25">
      <c r="A610" s="4" t="s">
        <v>109</v>
      </c>
    </row>
    <row r="611" spans="1:1" x14ac:dyDescent="0.25">
      <c r="A611" s="4" t="s">
        <v>110</v>
      </c>
    </row>
    <row r="612" spans="1:1" x14ac:dyDescent="0.25">
      <c r="A612" s="4" t="s">
        <v>111</v>
      </c>
    </row>
    <row r="613" spans="1:1" x14ac:dyDescent="0.25">
      <c r="A613" s="4" t="s">
        <v>112</v>
      </c>
    </row>
    <row r="614" spans="1:1" x14ac:dyDescent="0.25">
      <c r="A614" s="4" t="s">
        <v>113</v>
      </c>
    </row>
    <row r="615" spans="1:1" x14ac:dyDescent="0.25">
      <c r="A615" s="4" t="s">
        <v>114</v>
      </c>
    </row>
    <row r="616" spans="1:1" x14ac:dyDescent="0.25">
      <c r="A616" s="4" t="s">
        <v>115</v>
      </c>
    </row>
    <row r="617" spans="1:1" x14ac:dyDescent="0.25">
      <c r="A617" s="4" t="s">
        <v>116</v>
      </c>
    </row>
    <row r="618" spans="1:1" x14ac:dyDescent="0.25">
      <c r="A618" s="4" t="s">
        <v>117</v>
      </c>
    </row>
    <row r="619" spans="1:1" x14ac:dyDescent="0.25">
      <c r="A619" s="4" t="s">
        <v>118</v>
      </c>
    </row>
    <row r="620" spans="1:1" x14ac:dyDescent="0.25">
      <c r="A620" s="4" t="s">
        <v>119</v>
      </c>
    </row>
    <row r="621" spans="1:1" x14ac:dyDescent="0.25">
      <c r="A621" s="4" t="s">
        <v>120</v>
      </c>
    </row>
    <row r="622" spans="1:1" x14ac:dyDescent="0.25">
      <c r="A622" s="4" t="s">
        <v>121</v>
      </c>
    </row>
    <row r="623" spans="1:1" x14ac:dyDescent="0.25">
      <c r="A623" s="4" t="s">
        <v>122</v>
      </c>
    </row>
    <row r="624" spans="1:1" x14ac:dyDescent="0.25">
      <c r="A624" s="4" t="s">
        <v>123</v>
      </c>
    </row>
    <row r="625" spans="1:1" x14ac:dyDescent="0.25">
      <c r="A625" s="4" t="s">
        <v>124</v>
      </c>
    </row>
    <row r="626" spans="1:1" x14ac:dyDescent="0.25">
      <c r="A626" s="4" t="s">
        <v>125</v>
      </c>
    </row>
    <row r="627" spans="1:1" x14ac:dyDescent="0.25">
      <c r="A627" s="4" t="s">
        <v>126</v>
      </c>
    </row>
    <row r="628" spans="1:1" x14ac:dyDescent="0.25">
      <c r="A628" s="4" t="s">
        <v>127</v>
      </c>
    </row>
    <row r="629" spans="1:1" x14ac:dyDescent="0.25">
      <c r="A629" s="4" t="s">
        <v>128</v>
      </c>
    </row>
    <row r="630" spans="1:1" x14ac:dyDescent="0.25">
      <c r="A630" s="4" t="s">
        <v>129</v>
      </c>
    </row>
    <row r="631" spans="1:1" x14ac:dyDescent="0.25">
      <c r="A631" s="4" t="s">
        <v>130</v>
      </c>
    </row>
    <row r="632" spans="1:1" x14ac:dyDescent="0.25">
      <c r="A632" s="4" t="s">
        <v>131</v>
      </c>
    </row>
    <row r="633" spans="1:1" x14ac:dyDescent="0.25">
      <c r="A633" s="4" t="s">
        <v>132</v>
      </c>
    </row>
    <row r="634" spans="1:1" x14ac:dyDescent="0.25">
      <c r="A634" s="4" t="s">
        <v>133</v>
      </c>
    </row>
    <row r="635" spans="1:1" x14ac:dyDescent="0.25">
      <c r="A635" s="4" t="s">
        <v>134</v>
      </c>
    </row>
    <row r="636" spans="1:1" x14ac:dyDescent="0.25">
      <c r="A636" s="4" t="s">
        <v>135</v>
      </c>
    </row>
    <row r="637" spans="1:1" x14ac:dyDescent="0.25">
      <c r="A637" s="4" t="s">
        <v>136</v>
      </c>
    </row>
    <row r="638" spans="1:1" x14ac:dyDescent="0.25">
      <c r="A638" s="4" t="s">
        <v>137</v>
      </c>
    </row>
    <row r="639" spans="1:1" x14ac:dyDescent="0.25">
      <c r="A639" s="4" t="s">
        <v>138</v>
      </c>
    </row>
    <row r="641" spans="1:1" x14ac:dyDescent="0.25">
      <c r="A641" s="16" t="s">
        <v>139</v>
      </c>
    </row>
    <row r="642" spans="1:1" x14ac:dyDescent="0.25">
      <c r="A642" s="4" t="s">
        <v>140</v>
      </c>
    </row>
    <row r="643" spans="1:1" x14ac:dyDescent="0.25">
      <c r="A643" s="4" t="s">
        <v>142</v>
      </c>
    </row>
    <row r="644" spans="1:1" x14ac:dyDescent="0.25">
      <c r="A644" s="4" t="s">
        <v>143</v>
      </c>
    </row>
    <row r="645" spans="1:1" x14ac:dyDescent="0.25">
      <c r="A645" s="4" t="s">
        <v>144</v>
      </c>
    </row>
    <row r="646" spans="1:1" x14ac:dyDescent="0.25">
      <c r="A646" s="4" t="s">
        <v>145</v>
      </c>
    </row>
    <row r="647" spans="1:1" x14ac:dyDescent="0.25">
      <c r="A647" s="4" t="s">
        <v>146</v>
      </c>
    </row>
    <row r="648" spans="1:1" x14ac:dyDescent="0.25">
      <c r="A648" s="4" t="s">
        <v>147</v>
      </c>
    </row>
    <row r="649" spans="1:1" x14ac:dyDescent="0.25">
      <c r="A649" s="4" t="s">
        <v>148</v>
      </c>
    </row>
    <row r="650" spans="1:1" x14ac:dyDescent="0.25">
      <c r="A650" s="4" t="s">
        <v>149</v>
      </c>
    </row>
    <row r="651" spans="1:1" x14ac:dyDescent="0.25">
      <c r="A651" s="4" t="s">
        <v>150</v>
      </c>
    </row>
    <row r="652" spans="1:1" x14ac:dyDescent="0.25">
      <c r="A652" s="4" t="s">
        <v>151</v>
      </c>
    </row>
    <row r="653" spans="1:1" x14ac:dyDescent="0.25">
      <c r="A653" s="4" t="s">
        <v>152</v>
      </c>
    </row>
    <row r="654" spans="1:1" x14ac:dyDescent="0.25">
      <c r="A654" s="4" t="s">
        <v>153</v>
      </c>
    </row>
    <row r="655" spans="1:1" x14ac:dyDescent="0.25">
      <c r="A655" s="4" t="s">
        <v>154</v>
      </c>
    </row>
    <row r="656" spans="1:1" x14ac:dyDescent="0.25">
      <c r="A656" s="4" t="s">
        <v>155</v>
      </c>
    </row>
    <row r="657" spans="1:1" x14ac:dyDescent="0.25">
      <c r="A657" s="4" t="s">
        <v>156</v>
      </c>
    </row>
    <row r="658" spans="1:1" x14ac:dyDescent="0.25">
      <c r="A658" s="4" t="s">
        <v>157</v>
      </c>
    </row>
    <row r="659" spans="1:1" x14ac:dyDescent="0.25">
      <c r="A659" s="4" t="s">
        <v>158</v>
      </c>
    </row>
    <row r="660" spans="1:1" x14ac:dyDescent="0.25">
      <c r="A660" s="4" t="s">
        <v>159</v>
      </c>
    </row>
    <row r="661" spans="1:1" x14ac:dyDescent="0.25">
      <c r="A661" s="4" t="s">
        <v>160</v>
      </c>
    </row>
    <row r="662" spans="1:1" x14ac:dyDescent="0.25">
      <c r="A662" s="4" t="s">
        <v>161</v>
      </c>
    </row>
    <row r="663" spans="1:1" x14ac:dyDescent="0.25">
      <c r="A663" s="4" t="s">
        <v>162</v>
      </c>
    </row>
    <row r="664" spans="1:1" x14ac:dyDescent="0.25">
      <c r="A664" s="4" t="s">
        <v>163</v>
      </c>
    </row>
    <row r="665" spans="1:1" x14ac:dyDescent="0.25">
      <c r="A665" s="4" t="s">
        <v>164</v>
      </c>
    </row>
    <row r="666" spans="1:1" x14ac:dyDescent="0.25">
      <c r="A666" s="4" t="s">
        <v>165</v>
      </c>
    </row>
    <row r="667" spans="1:1" x14ac:dyDescent="0.25">
      <c r="A667" s="4" t="s">
        <v>167</v>
      </c>
    </row>
    <row r="668" spans="1:1" x14ac:dyDescent="0.25">
      <c r="A668" s="4" t="s">
        <v>168</v>
      </c>
    </row>
    <row r="669" spans="1:1" x14ac:dyDescent="0.25">
      <c r="A669" s="4" t="s">
        <v>169</v>
      </c>
    </row>
    <row r="670" spans="1:1" x14ac:dyDescent="0.25">
      <c r="A670" s="4" t="s">
        <v>170</v>
      </c>
    </row>
    <row r="671" spans="1:1" x14ac:dyDescent="0.25">
      <c r="A671" s="4" t="s">
        <v>171</v>
      </c>
    </row>
    <row r="672" spans="1:1" x14ac:dyDescent="0.25">
      <c r="A672" s="4" t="s">
        <v>172</v>
      </c>
    </row>
    <row r="673" spans="1:1" x14ac:dyDescent="0.25">
      <c r="A673" s="4" t="s">
        <v>173</v>
      </c>
    </row>
    <row r="674" spans="1:1" x14ac:dyDescent="0.25">
      <c r="A674" s="4" t="s">
        <v>174</v>
      </c>
    </row>
    <row r="675" spans="1:1" x14ac:dyDescent="0.25">
      <c r="A675" s="4" t="s">
        <v>175</v>
      </c>
    </row>
    <row r="676" spans="1:1" x14ac:dyDescent="0.25">
      <c r="A676" s="4" t="s">
        <v>176</v>
      </c>
    </row>
    <row r="677" spans="1:1" x14ac:dyDescent="0.25">
      <c r="A677" s="4" t="s">
        <v>177</v>
      </c>
    </row>
    <row r="678" spans="1:1" x14ac:dyDescent="0.25">
      <c r="A678" s="4" t="s">
        <v>178</v>
      </c>
    </row>
    <row r="679" spans="1:1" x14ac:dyDescent="0.25">
      <c r="A679" s="4" t="s">
        <v>179</v>
      </c>
    </row>
    <row r="680" spans="1:1" x14ac:dyDescent="0.25">
      <c r="A680" s="4" t="s">
        <v>180</v>
      </c>
    </row>
    <row r="681" spans="1:1" x14ac:dyDescent="0.25">
      <c r="A681" s="4" t="s">
        <v>181</v>
      </c>
    </row>
    <row r="682" spans="1:1" x14ac:dyDescent="0.25">
      <c r="A682" s="4" t="s">
        <v>182</v>
      </c>
    </row>
    <row r="683" spans="1:1" x14ac:dyDescent="0.25">
      <c r="A683" s="4" t="s">
        <v>183</v>
      </c>
    </row>
    <row r="684" spans="1:1" x14ac:dyDescent="0.25">
      <c r="A684" s="4" t="s">
        <v>184</v>
      </c>
    </row>
    <row r="685" spans="1:1" x14ac:dyDescent="0.25">
      <c r="A685" s="4" t="s">
        <v>185</v>
      </c>
    </row>
    <row r="686" spans="1:1" x14ac:dyDescent="0.25">
      <c r="A686" s="4" t="s">
        <v>186</v>
      </c>
    </row>
    <row r="687" spans="1:1" x14ac:dyDescent="0.25">
      <c r="A687" s="4" t="s">
        <v>187</v>
      </c>
    </row>
    <row r="688" spans="1:1" x14ac:dyDescent="0.25">
      <c r="A688" s="4" t="s">
        <v>188</v>
      </c>
    </row>
    <row r="689" spans="1:1" x14ac:dyDescent="0.25">
      <c r="A689" s="4" t="s">
        <v>189</v>
      </c>
    </row>
    <row r="690" spans="1:1" x14ac:dyDescent="0.25">
      <c r="A690" s="4" t="s">
        <v>190</v>
      </c>
    </row>
    <row r="691" spans="1:1" x14ac:dyDescent="0.25">
      <c r="A691" s="4" t="s">
        <v>191</v>
      </c>
    </row>
    <row r="692" spans="1:1" x14ac:dyDescent="0.25">
      <c r="A692" s="4" t="s">
        <v>192</v>
      </c>
    </row>
    <row r="693" spans="1:1" x14ac:dyDescent="0.25">
      <c r="A693" s="4" t="s">
        <v>193</v>
      </c>
    </row>
    <row r="694" spans="1:1" x14ac:dyDescent="0.25">
      <c r="A694" s="4" t="s">
        <v>194</v>
      </c>
    </row>
    <row r="695" spans="1:1" x14ac:dyDescent="0.25">
      <c r="A695" s="4" t="s">
        <v>195</v>
      </c>
    </row>
    <row r="696" spans="1:1" x14ac:dyDescent="0.25">
      <c r="A696" s="4" t="s">
        <v>29</v>
      </c>
    </row>
    <row r="697" spans="1:1" x14ac:dyDescent="0.25">
      <c r="A697" s="4" t="s">
        <v>196</v>
      </c>
    </row>
    <row r="698" spans="1:1" x14ac:dyDescent="0.25">
      <c r="A698" s="4" t="s">
        <v>197</v>
      </c>
    </row>
    <row r="699" spans="1:1" x14ac:dyDescent="0.25">
      <c r="A699" s="4" t="s">
        <v>198</v>
      </c>
    </row>
    <row r="700" spans="1:1" x14ac:dyDescent="0.25">
      <c r="A700" s="4" t="s">
        <v>199</v>
      </c>
    </row>
    <row r="701" spans="1:1" x14ac:dyDescent="0.25">
      <c r="A701" s="4" t="s">
        <v>200</v>
      </c>
    </row>
    <row r="702" spans="1:1" x14ac:dyDescent="0.25">
      <c r="A702" s="4" t="s">
        <v>28</v>
      </c>
    </row>
    <row r="703" spans="1:1" x14ac:dyDescent="0.25">
      <c r="A703" s="4" t="s">
        <v>201</v>
      </c>
    </row>
    <row r="704" spans="1:1" x14ac:dyDescent="0.25">
      <c r="A704" s="4" t="s">
        <v>202</v>
      </c>
    </row>
    <row r="705" spans="1:1" x14ac:dyDescent="0.25">
      <c r="A705" s="4" t="s">
        <v>203</v>
      </c>
    </row>
    <row r="706" spans="1:1" x14ac:dyDescent="0.25">
      <c r="A706" s="4" t="s">
        <v>33</v>
      </c>
    </row>
  </sheetData>
  <mergeCells count="320">
    <mergeCell ref="L461:L521"/>
    <mergeCell ref="D523:D524"/>
    <mergeCell ref="C523:C524"/>
    <mergeCell ref="B523:B524"/>
    <mergeCell ref="A523:A524"/>
    <mergeCell ref="E523:E524"/>
    <mergeCell ref="A18:A19"/>
    <mergeCell ref="B18:B19"/>
    <mergeCell ref="C18:C19"/>
    <mergeCell ref="D18:D19"/>
    <mergeCell ref="E18:E19"/>
    <mergeCell ref="L18:L19"/>
    <mergeCell ref="L522:L533"/>
    <mergeCell ref="B455:B457"/>
    <mergeCell ref="C455:C457"/>
    <mergeCell ref="D455:D457"/>
    <mergeCell ref="E455:E457"/>
    <mergeCell ref="A455:A457"/>
    <mergeCell ref="L455:L457"/>
    <mergeCell ref="A458:A460"/>
    <mergeCell ref="B458:B460"/>
    <mergeCell ref="C458:C460"/>
    <mergeCell ref="D458:D460"/>
    <mergeCell ref="E458:E460"/>
    <mergeCell ref="L458:L460"/>
    <mergeCell ref="A449:A451"/>
    <mergeCell ref="B449:B451"/>
    <mergeCell ref="C449:C451"/>
    <mergeCell ref="D449:D451"/>
    <mergeCell ref="E449:E451"/>
    <mergeCell ref="L449:L451"/>
    <mergeCell ref="A452:A454"/>
    <mergeCell ref="B452:B454"/>
    <mergeCell ref="C452:C454"/>
    <mergeCell ref="D452:D454"/>
    <mergeCell ref="E452:E454"/>
    <mergeCell ref="L452:L454"/>
    <mergeCell ref="A445:A446"/>
    <mergeCell ref="B445:B446"/>
    <mergeCell ref="C445:C446"/>
    <mergeCell ref="D445:D446"/>
    <mergeCell ref="E445:E446"/>
    <mergeCell ref="L445:L446"/>
    <mergeCell ref="A447:A448"/>
    <mergeCell ref="B447:B448"/>
    <mergeCell ref="C447:C448"/>
    <mergeCell ref="D447:D448"/>
    <mergeCell ref="E447:E448"/>
    <mergeCell ref="L447:L448"/>
    <mergeCell ref="A441:A442"/>
    <mergeCell ref="B441:B442"/>
    <mergeCell ref="C441:C442"/>
    <mergeCell ref="D441:D442"/>
    <mergeCell ref="E441:E442"/>
    <mergeCell ref="L441:L442"/>
    <mergeCell ref="B443:B444"/>
    <mergeCell ref="C443:C444"/>
    <mergeCell ref="D443:D444"/>
    <mergeCell ref="E443:E444"/>
    <mergeCell ref="L443:L444"/>
    <mergeCell ref="A443:A444"/>
    <mergeCell ref="E435:E436"/>
    <mergeCell ref="L435:L436"/>
    <mergeCell ref="B437:B438"/>
    <mergeCell ref="C437:C438"/>
    <mergeCell ref="D437:D438"/>
    <mergeCell ref="E437:E438"/>
    <mergeCell ref="L437:L438"/>
    <mergeCell ref="A437:A438"/>
    <mergeCell ref="B439:B440"/>
    <mergeCell ref="C439:C440"/>
    <mergeCell ref="D439:D440"/>
    <mergeCell ref="E439:E440"/>
    <mergeCell ref="L439:L440"/>
    <mergeCell ref="A439:A440"/>
    <mergeCell ref="L429:L430"/>
    <mergeCell ref="B429:B430"/>
    <mergeCell ref="C429:C430"/>
    <mergeCell ref="D429:D430"/>
    <mergeCell ref="E429:E430"/>
    <mergeCell ref="A429:A430"/>
    <mergeCell ref="B431:B432"/>
    <mergeCell ref="C431:C432"/>
    <mergeCell ref="D431:D432"/>
    <mergeCell ref="E431:E432"/>
    <mergeCell ref="L431:L432"/>
    <mergeCell ref="A431:A432"/>
    <mergeCell ref="A433:A434"/>
    <mergeCell ref="B433:B434"/>
    <mergeCell ref="C433:C434"/>
    <mergeCell ref="D433:D434"/>
    <mergeCell ref="E433:E434"/>
    <mergeCell ref="L433:L434"/>
    <mergeCell ref="A435:A436"/>
    <mergeCell ref="B435:B436"/>
    <mergeCell ref="C435:C436"/>
    <mergeCell ref="D435:D436"/>
    <mergeCell ref="B397:B412"/>
    <mergeCell ref="C397:C412"/>
    <mergeCell ref="D397:D412"/>
    <mergeCell ref="E397:E412"/>
    <mergeCell ref="L397:L412"/>
    <mergeCell ref="A397:A412"/>
    <mergeCell ref="B413:B428"/>
    <mergeCell ref="C413:C428"/>
    <mergeCell ref="D413:D428"/>
    <mergeCell ref="E413:E428"/>
    <mergeCell ref="L413:L428"/>
    <mergeCell ref="A413:A428"/>
    <mergeCell ref="B381:B396"/>
    <mergeCell ref="C381:C396"/>
    <mergeCell ref="D381:D396"/>
    <mergeCell ref="E381:E396"/>
    <mergeCell ref="L381:L396"/>
    <mergeCell ref="A381:A396"/>
    <mergeCell ref="L365:L380"/>
    <mergeCell ref="D365:D380"/>
    <mergeCell ref="E365:E380"/>
    <mergeCell ref="C365:C380"/>
    <mergeCell ref="B365:B380"/>
    <mergeCell ref="A365:A380"/>
    <mergeCell ref="L332:L333"/>
    <mergeCell ref="A332:A333"/>
    <mergeCell ref="L337:L350"/>
    <mergeCell ref="B337:B350"/>
    <mergeCell ref="C337:C350"/>
    <mergeCell ref="D337:D350"/>
    <mergeCell ref="E337:E350"/>
    <mergeCell ref="A337:A350"/>
    <mergeCell ref="B351:B364"/>
    <mergeCell ref="C351:C364"/>
    <mergeCell ref="D351:D364"/>
    <mergeCell ref="E351:E364"/>
    <mergeCell ref="L351:L364"/>
    <mergeCell ref="A351:A364"/>
    <mergeCell ref="L324:L325"/>
    <mergeCell ref="A324:A325"/>
    <mergeCell ref="B326:B327"/>
    <mergeCell ref="C326:C327"/>
    <mergeCell ref="D326:D327"/>
    <mergeCell ref="E326:E327"/>
    <mergeCell ref="L326:L327"/>
    <mergeCell ref="A326:A327"/>
    <mergeCell ref="B330:B331"/>
    <mergeCell ref="C330:C331"/>
    <mergeCell ref="D330:D331"/>
    <mergeCell ref="E330:E331"/>
    <mergeCell ref="L330:L331"/>
    <mergeCell ref="A330:A331"/>
    <mergeCell ref="L317:L318"/>
    <mergeCell ref="L320:L321"/>
    <mergeCell ref="D320:D321"/>
    <mergeCell ref="E320:E321"/>
    <mergeCell ref="B320:B321"/>
    <mergeCell ref="C320:C321"/>
    <mergeCell ref="B317:B318"/>
    <mergeCell ref="C317:C318"/>
    <mergeCell ref="A317:A318"/>
    <mergeCell ref="D317:D318"/>
    <mergeCell ref="E317:E318"/>
    <mergeCell ref="A320:A321"/>
    <mergeCell ref="B324:B325"/>
    <mergeCell ref="C324:C325"/>
    <mergeCell ref="D324:D325"/>
    <mergeCell ref="E324:E325"/>
    <mergeCell ref="B332:B333"/>
    <mergeCell ref="C332:C333"/>
    <mergeCell ref="D332:D333"/>
    <mergeCell ref="E332:E333"/>
    <mergeCell ref="B289:B311"/>
    <mergeCell ref="C289:C311"/>
    <mergeCell ref="D289:D311"/>
    <mergeCell ref="E289:E311"/>
    <mergeCell ref="L289:L311"/>
    <mergeCell ref="A289:A311"/>
    <mergeCell ref="B312:B316"/>
    <mergeCell ref="C312:C316"/>
    <mergeCell ref="D312:D316"/>
    <mergeCell ref="E312:E316"/>
    <mergeCell ref="L312:L316"/>
    <mergeCell ref="A312:A316"/>
    <mergeCell ref="B266:B283"/>
    <mergeCell ref="C266:C283"/>
    <mergeCell ref="D266:D283"/>
    <mergeCell ref="E266:E283"/>
    <mergeCell ref="A266:A283"/>
    <mergeCell ref="L266:L283"/>
    <mergeCell ref="B284:B288"/>
    <mergeCell ref="C284:C288"/>
    <mergeCell ref="D284:D288"/>
    <mergeCell ref="E284:E288"/>
    <mergeCell ref="L284:L288"/>
    <mergeCell ref="A284:A288"/>
    <mergeCell ref="L5:L6"/>
    <mergeCell ref="A66:A76"/>
    <mergeCell ref="B66:B76"/>
    <mergeCell ref="C66:C76"/>
    <mergeCell ref="D66:D76"/>
    <mergeCell ref="E66:E76"/>
    <mergeCell ref="L66:L76"/>
    <mergeCell ref="A5:A6"/>
    <mergeCell ref="B5:B6"/>
    <mergeCell ref="C5:C6"/>
    <mergeCell ref="D5:D6"/>
    <mergeCell ref="L77:L78"/>
    <mergeCell ref="L79:L83"/>
    <mergeCell ref="B84:B85"/>
    <mergeCell ref="A84:A85"/>
    <mergeCell ref="C84:C85"/>
    <mergeCell ref="D84:D85"/>
    <mergeCell ref="E84:E85"/>
    <mergeCell ref="L84:L85"/>
    <mergeCell ref="A79:A83"/>
    <mergeCell ref="B79:B83"/>
    <mergeCell ref="C79:C83"/>
    <mergeCell ref="D79:D83"/>
    <mergeCell ref="E79:E83"/>
    <mergeCell ref="A77:A78"/>
    <mergeCell ref="B77:B78"/>
    <mergeCell ref="C77:C78"/>
    <mergeCell ref="D77:D78"/>
    <mergeCell ref="E77:E78"/>
    <mergeCell ref="L92:L94"/>
    <mergeCell ref="A92:A94"/>
    <mergeCell ref="B92:B94"/>
    <mergeCell ref="C92:C94"/>
    <mergeCell ref="D92:D94"/>
    <mergeCell ref="E92:E94"/>
    <mergeCell ref="L86:L87"/>
    <mergeCell ref="L88:L89"/>
    <mergeCell ref="A88:A89"/>
    <mergeCell ref="B88:B89"/>
    <mergeCell ref="C88:C89"/>
    <mergeCell ref="D88:D89"/>
    <mergeCell ref="E88:E89"/>
    <mergeCell ref="A86:A87"/>
    <mergeCell ref="B86:B87"/>
    <mergeCell ref="C86:C87"/>
    <mergeCell ref="D86:D87"/>
    <mergeCell ref="E86:E87"/>
    <mergeCell ref="L102:L104"/>
    <mergeCell ref="A102:A104"/>
    <mergeCell ref="B102:B104"/>
    <mergeCell ref="C102:C104"/>
    <mergeCell ref="D102:D104"/>
    <mergeCell ref="E102:E104"/>
    <mergeCell ref="A95:A99"/>
    <mergeCell ref="C95:C99"/>
    <mergeCell ref="B95:B99"/>
    <mergeCell ref="D95:D99"/>
    <mergeCell ref="E95:E99"/>
    <mergeCell ref="L95:L99"/>
    <mergeCell ref="L105:L106"/>
    <mergeCell ref="B107:B110"/>
    <mergeCell ref="C107:C110"/>
    <mergeCell ref="D107:D110"/>
    <mergeCell ref="E107:E110"/>
    <mergeCell ref="L107:L110"/>
    <mergeCell ref="A105:A106"/>
    <mergeCell ref="B105:B106"/>
    <mergeCell ref="C105:C106"/>
    <mergeCell ref="D105:D106"/>
    <mergeCell ref="E105:E106"/>
    <mergeCell ref="A107:A110"/>
    <mergeCell ref="A130:A145"/>
    <mergeCell ref="E111:E129"/>
    <mergeCell ref="I111:I129"/>
    <mergeCell ref="J111:J129"/>
    <mergeCell ref="K111:K129"/>
    <mergeCell ref="A111:A129"/>
    <mergeCell ref="B111:B129"/>
    <mergeCell ref="C111:C129"/>
    <mergeCell ref="D111:D129"/>
    <mergeCell ref="L130:L145"/>
    <mergeCell ref="L111:L129"/>
    <mergeCell ref="L146:L166"/>
    <mergeCell ref="I130:I145"/>
    <mergeCell ref="J130:J145"/>
    <mergeCell ref="K130:K145"/>
    <mergeCell ref="B130:B145"/>
    <mergeCell ref="C130:C145"/>
    <mergeCell ref="D130:D145"/>
    <mergeCell ref="E130:E145"/>
    <mergeCell ref="A167:A183"/>
    <mergeCell ref="B167:B183"/>
    <mergeCell ref="C167:C183"/>
    <mergeCell ref="D167:D183"/>
    <mergeCell ref="E167:E183"/>
    <mergeCell ref="L167:L183"/>
    <mergeCell ref="D146:D166"/>
    <mergeCell ref="E146:E166"/>
    <mergeCell ref="C146:C166"/>
    <mergeCell ref="B146:B166"/>
    <mergeCell ref="A146:A166"/>
    <mergeCell ref="L233:L237"/>
    <mergeCell ref="A233:A237"/>
    <mergeCell ref="B233:B237"/>
    <mergeCell ref="C233:C237"/>
    <mergeCell ref="D233:D237"/>
    <mergeCell ref="E233:E237"/>
    <mergeCell ref="C204:C214"/>
    <mergeCell ref="L204:L214"/>
    <mergeCell ref="A215:A232"/>
    <mergeCell ref="B215:B232"/>
    <mergeCell ref="C215:C232"/>
    <mergeCell ref="D215:D232"/>
    <mergeCell ref="E215:E232"/>
    <mergeCell ref="L215:L232"/>
    <mergeCell ref="L261:L265"/>
    <mergeCell ref="B261:B265"/>
    <mergeCell ref="C261:C265"/>
    <mergeCell ref="D261:D265"/>
    <mergeCell ref="E261:E265"/>
    <mergeCell ref="A261:A265"/>
    <mergeCell ref="A238:A260"/>
    <mergeCell ref="B238:B260"/>
    <mergeCell ref="C238:C260"/>
    <mergeCell ref="D238:D260"/>
    <mergeCell ref="E238:E260"/>
    <mergeCell ref="L238:L26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9B10D5F80EF44B8898B039B5E337DE" ma:contentTypeVersion="13" ma:contentTypeDescription="Een nieuw document maken." ma:contentTypeScope="" ma:versionID="fcf753b234c5b9a3664648b5cd0161fe">
  <xsd:schema xmlns:xsd="http://www.w3.org/2001/XMLSchema" xmlns:xs="http://www.w3.org/2001/XMLSchema" xmlns:p="http://schemas.microsoft.com/office/2006/metadata/properties" xmlns:ns2="fce4b72b-ddc4-4e52-8d9b-ecd72c35d7a6" xmlns:ns3="fd145eb8-e207-4c71-9ab8-a3bcccd5dad1" targetNamespace="http://schemas.microsoft.com/office/2006/metadata/properties" ma:root="true" ma:fieldsID="be43f15d4ad1e3767ebaae862d45d8a2" ns2:_="" ns3:_="">
    <xsd:import namespace="fce4b72b-ddc4-4e52-8d9b-ecd72c35d7a6"/>
    <xsd:import namespace="fd145eb8-e207-4c71-9ab8-a3bcccd5da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e4b72b-ddc4-4e52-8d9b-ecd72c35d7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f1a5bf20-2747-41e9-9fee-c32d61dcfd74"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145eb8-e207-4c71-9ab8-a3bcccd5dad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ec97b83-b4ca-493d-94a3-bce9a5652864}" ma:internalName="TaxCatchAll" ma:showField="CatchAllData" ma:web="fd145eb8-e207-4c71-9ab8-a3bcccd5da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145eb8-e207-4c71-9ab8-a3bcccd5dad1" xsi:nil="true"/>
    <lcf76f155ced4ddcb4097134ff3c332f xmlns="fce4b72b-ddc4-4e52-8d9b-ecd72c35d7a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67B88A0-3672-412B-B578-CAB3FDC921FC}"/>
</file>

<file path=customXml/itemProps2.xml><?xml version="1.0" encoding="utf-8"?>
<ds:datastoreItem xmlns:ds="http://schemas.openxmlformats.org/officeDocument/2006/customXml" ds:itemID="{0CFA0528-77E1-4DCC-BDAA-0E9287143D97}"/>
</file>

<file path=customXml/itemProps3.xml><?xml version="1.0" encoding="utf-8"?>
<ds:datastoreItem xmlns:ds="http://schemas.openxmlformats.org/officeDocument/2006/customXml" ds:itemID="{A7E78362-32E5-4844-9183-123241AD8C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Wijzigingen processendatabase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Schipper, Branco (Amsterdam)</dc:creator>
  <cp:lastModifiedBy>Schipper, Branco (Heeswijk-Dinther)</cp:lastModifiedBy>
  <dcterms:created xsi:type="dcterms:W3CDTF">2025-02-14T11:38:27Z</dcterms:created>
  <dcterms:modified xsi:type="dcterms:W3CDTF">2026-03-11T11:58:43Z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0x010100E69B10D5F80EF44B8898B039B5E337DE</vt:lpwstr>
  </property>
</Properties>
</file>