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2.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drawings/drawing3.xml" ContentType="application/vnd.openxmlformats-officedocument.drawing+xml"/>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jacob\OneDrive\Documenten\00 PantheonSeminars\01 Projecten Pantheon\21002 NMD-Lesbrief_GWW\00- Lesmateriaal\01- Definitief\"/>
    </mc:Choice>
  </mc:AlternateContent>
  <xr:revisionPtr revIDLastSave="0" documentId="13_ncr:1_{6EF9920E-7703-4A7B-8912-9A8F2994A0D3}" xr6:coauthVersionLast="47" xr6:coauthVersionMax="47" xr10:uidLastSave="{00000000-0000-0000-0000-000000000000}"/>
  <bookViews>
    <workbookView xWindow="-108" yWindow="-108" windowWidth="23256" windowHeight="12576" firstSheet="5" xr2:uid="{A508F90E-8CC2-44D0-9DCB-EEB721115B6D}"/>
  </bookViews>
  <sheets>
    <sheet name="1a Geluidsscherm_Ontwerp" sheetId="21" r:id="rId1"/>
    <sheet name="1b Geluidsscherm_MKI-data" sheetId="22" r:id="rId2"/>
    <sheet name="1c Geluidsscherm_Voorbeeld" sheetId="23" r:id="rId3"/>
    <sheet name="2a Riolering_Ontwerp" sheetId="7" r:id="rId4"/>
    <sheet name="2b Riolering_MKI-data" sheetId="8" r:id="rId5"/>
    <sheet name="3a Oeverbescherming_Ontwerp" sheetId="11" r:id="rId6"/>
    <sheet name="3b Oeverbescherming_MKI-data" sheetId="12" r:id="rId7"/>
    <sheet name="4a Viaduct_Ontwerp-2x3" sheetId="20" r:id="rId8"/>
  </sheets>
  <definedNames>
    <definedName name="vandaag" localSheetId="0">#REF!</definedName>
    <definedName name="vandaag" localSheetId="1">#REF!</definedName>
    <definedName name="vandaag" localSheetId="2">#REF!</definedName>
    <definedName name="vandaag" localSheetId="3">#REF!</definedName>
    <definedName name="vandaag" localSheetId="4">#REF!</definedName>
    <definedName name="vandaag" localSheetId="5">#REF!</definedName>
    <definedName name="vandaag" localSheetId="6">#REF!</definedName>
    <definedName name="vandaag" localSheetId="7">#REF!</definedName>
    <definedName name="vandaag">#REF!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2" i="23" l="1"/>
  <c r="L21" i="23"/>
  <c r="L20" i="23"/>
  <c r="L19" i="23"/>
  <c r="L18" i="23"/>
  <c r="L17" i="23"/>
  <c r="L16" i="23"/>
  <c r="L15" i="23"/>
  <c r="L14" i="23"/>
  <c r="L13" i="23"/>
  <c r="L12" i="23"/>
  <c r="L11" i="23"/>
  <c r="L10" i="23"/>
  <c r="L8" i="23"/>
  <c r="F8" i="23"/>
  <c r="F9" i="23" s="1"/>
  <c r="E6" i="22"/>
  <c r="D6" i="22"/>
  <c r="M8" i="21"/>
  <c r="M9" i="21"/>
  <c r="M10" i="21"/>
  <c r="M11" i="21"/>
  <c r="M27" i="21" s="1"/>
  <c r="M12" i="21"/>
  <c r="M13" i="21"/>
  <c r="M14" i="21"/>
  <c r="M15" i="21"/>
  <c r="M16" i="21"/>
  <c r="M17" i="21"/>
  <c r="M18" i="21"/>
  <c r="M19" i="21"/>
  <c r="M20" i="21"/>
  <c r="M21" i="21"/>
  <c r="M22" i="21"/>
  <c r="M23" i="21"/>
  <c r="M24" i="21"/>
  <c r="M25" i="21"/>
  <c r="L9" i="23" l="1"/>
  <c r="L24" i="23" s="1"/>
  <c r="U55" i="20" l="1"/>
  <c r="U56" i="20" s="1"/>
  <c r="W53" i="20"/>
  <c r="W58" i="20" s="1"/>
  <c r="U53" i="20"/>
  <c r="U57" i="20" s="1"/>
  <c r="U58" i="20" s="1"/>
  <c r="S51" i="20"/>
  <c r="K51" i="20"/>
  <c r="I51" i="20"/>
  <c r="F51" i="20"/>
  <c r="T51" i="20" s="1"/>
  <c r="V50" i="20"/>
  <c r="T50" i="20"/>
  <c r="S50" i="20"/>
  <c r="K50" i="20"/>
  <c r="I50" i="20"/>
  <c r="S49" i="20"/>
  <c r="K49" i="20"/>
  <c r="I49" i="20"/>
  <c r="F49" i="20"/>
  <c r="V49" i="20" s="1"/>
  <c r="V48" i="20"/>
  <c r="T48" i="20"/>
  <c r="S48" i="20"/>
  <c r="K48" i="20"/>
  <c r="I48" i="20"/>
  <c r="V47" i="20"/>
  <c r="S47" i="20"/>
  <c r="K47" i="20"/>
  <c r="I47" i="20"/>
  <c r="F47" i="20"/>
  <c r="T47" i="20" s="1"/>
  <c r="V46" i="20"/>
  <c r="T46" i="20"/>
  <c r="S46" i="20"/>
  <c r="K46" i="20"/>
  <c r="I46" i="20"/>
  <c r="K45" i="20"/>
  <c r="I45" i="20"/>
  <c r="F45" i="20"/>
  <c r="S45" i="20" s="1"/>
  <c r="V44" i="20"/>
  <c r="T44" i="20"/>
  <c r="S44" i="20"/>
  <c r="K44" i="20"/>
  <c r="I44" i="20"/>
  <c r="S43" i="20"/>
  <c r="K43" i="20"/>
  <c r="I43" i="20"/>
  <c r="F43" i="20"/>
  <c r="T43" i="20" s="1"/>
  <c r="V42" i="20"/>
  <c r="K42" i="20"/>
  <c r="I42" i="20"/>
  <c r="F42" i="20"/>
  <c r="T42" i="20" s="1"/>
  <c r="V41" i="20"/>
  <c r="T41" i="20"/>
  <c r="S41" i="20"/>
  <c r="K41" i="20"/>
  <c r="I41" i="20"/>
  <c r="K40" i="20"/>
  <c r="I40" i="20"/>
  <c r="F40" i="20"/>
  <c r="S40" i="20" s="1"/>
  <c r="V39" i="20"/>
  <c r="T39" i="20"/>
  <c r="S39" i="20"/>
  <c r="K39" i="20"/>
  <c r="I39" i="20"/>
  <c r="S38" i="20"/>
  <c r="K38" i="20"/>
  <c r="I38" i="20"/>
  <c r="F38" i="20"/>
  <c r="V38" i="20" s="1"/>
  <c r="V37" i="20"/>
  <c r="T37" i="20"/>
  <c r="S37" i="20"/>
  <c r="K37" i="20"/>
  <c r="I37" i="20"/>
  <c r="V36" i="20"/>
  <c r="S36" i="20"/>
  <c r="K36" i="20"/>
  <c r="I36" i="20"/>
  <c r="F36" i="20"/>
  <c r="T36" i="20" s="1"/>
  <c r="V35" i="20"/>
  <c r="T35" i="20"/>
  <c r="S35" i="20"/>
  <c r="K35" i="20"/>
  <c r="K34" i="20"/>
  <c r="I34" i="20"/>
  <c r="F34" i="20"/>
  <c r="S34" i="20" s="1"/>
  <c r="V33" i="20"/>
  <c r="S33" i="20"/>
  <c r="K33" i="20"/>
  <c r="I33" i="20"/>
  <c r="F33" i="20"/>
  <c r="T33" i="20" s="1"/>
  <c r="V32" i="20"/>
  <c r="T32" i="20"/>
  <c r="S32" i="20"/>
  <c r="K32" i="20"/>
  <c r="I32" i="20"/>
  <c r="K31" i="20"/>
  <c r="I31" i="20"/>
  <c r="S30" i="20"/>
  <c r="K30" i="20"/>
  <c r="I30" i="20"/>
  <c r="F30" i="20"/>
  <c r="F31" i="20" s="1"/>
  <c r="V29" i="20"/>
  <c r="K29" i="20"/>
  <c r="I29" i="20"/>
  <c r="F29" i="20"/>
  <c r="T29" i="20" s="1"/>
  <c r="V28" i="20"/>
  <c r="T28" i="20"/>
  <c r="S28" i="20"/>
  <c r="K28" i="20"/>
  <c r="I28" i="20"/>
  <c r="K27" i="20"/>
  <c r="I27" i="20"/>
  <c r="F27" i="20"/>
  <c r="S27" i="20" s="1"/>
  <c r="V26" i="20"/>
  <c r="S26" i="20"/>
  <c r="K26" i="20"/>
  <c r="I26" i="20"/>
  <c r="F26" i="20"/>
  <c r="T26" i="20" s="1"/>
  <c r="V25" i="20"/>
  <c r="T25" i="20"/>
  <c r="S25" i="20"/>
  <c r="K25" i="20"/>
  <c r="I25" i="20"/>
  <c r="V24" i="20"/>
  <c r="I24" i="20"/>
  <c r="F24" i="20"/>
  <c r="V23" i="20"/>
  <c r="I23" i="20"/>
  <c r="F23" i="20"/>
  <c r="V22" i="20"/>
  <c r="I22" i="20"/>
  <c r="T21" i="20"/>
  <c r="K21" i="20"/>
  <c r="J21" i="20"/>
  <c r="T20" i="20"/>
  <c r="K20" i="20"/>
  <c r="J20" i="20"/>
  <c r="F20" i="20"/>
  <c r="T19" i="20"/>
  <c r="K19" i="20"/>
  <c r="J19" i="20"/>
  <c r="K18" i="20"/>
  <c r="J18" i="20"/>
  <c r="I18" i="20"/>
  <c r="F18" i="20"/>
  <c r="S18" i="20" s="1"/>
  <c r="K17" i="20"/>
  <c r="J17" i="20"/>
  <c r="I17" i="20"/>
  <c r="F17" i="20"/>
  <c r="S17" i="20" s="1"/>
  <c r="S16" i="20"/>
  <c r="K16" i="20"/>
  <c r="J16" i="20"/>
  <c r="I16" i="20"/>
  <c r="S14" i="20"/>
  <c r="O14" i="20"/>
  <c r="K14" i="20"/>
  <c r="F14" i="20"/>
  <c r="Q14" i="20" s="1"/>
  <c r="S13" i="20"/>
  <c r="Q13" i="20"/>
  <c r="P13" i="20"/>
  <c r="O13" i="20"/>
  <c r="K13" i="20"/>
  <c r="Q12" i="20"/>
  <c r="S11" i="20"/>
  <c r="O11" i="20"/>
  <c r="K11" i="20"/>
  <c r="F11" i="20"/>
  <c r="Q11" i="20" s="1"/>
  <c r="S10" i="20"/>
  <c r="Q10" i="20"/>
  <c r="P10" i="20"/>
  <c r="O10" i="20"/>
  <c r="K10" i="20"/>
  <c r="K9" i="20"/>
  <c r="F9" i="20"/>
  <c r="P9" i="20" s="1"/>
  <c r="S8" i="20"/>
  <c r="P8" i="20"/>
  <c r="O8" i="20"/>
  <c r="K8" i="20"/>
  <c r="Q8" i="20" s="1"/>
  <c r="S7" i="20"/>
  <c r="Q7" i="20"/>
  <c r="P7" i="20"/>
  <c r="O7" i="20"/>
  <c r="P6" i="20"/>
  <c r="I6" i="20"/>
  <c r="F6" i="20"/>
  <c r="O6" i="20" s="1"/>
  <c r="T55" i="20" l="1"/>
  <c r="T56" i="20" s="1"/>
  <c r="O53" i="20"/>
  <c r="T31" i="20"/>
  <c r="V31" i="20"/>
  <c r="S31" i="20"/>
  <c r="Q9" i="20"/>
  <c r="T34" i="20"/>
  <c r="Q6" i="20"/>
  <c r="S9" i="20"/>
  <c r="S55" i="20" s="1"/>
  <c r="S56" i="20" s="1"/>
  <c r="T38" i="20"/>
  <c r="V40" i="20"/>
  <c r="S6" i="20"/>
  <c r="O9" i="20"/>
  <c r="P11" i="20"/>
  <c r="P53" i="20" s="1"/>
  <c r="P14" i="20"/>
  <c r="S29" i="20"/>
  <c r="V30" i="20"/>
  <c r="S42" i="20"/>
  <c r="V43" i="20"/>
  <c r="T49" i="20"/>
  <c r="V51" i="20"/>
  <c r="T27" i="20"/>
  <c r="T53" i="20" s="1"/>
  <c r="T57" i="20" s="1"/>
  <c r="T58" i="20" s="1"/>
  <c r="T40" i="20"/>
  <c r="T45" i="20"/>
  <c r="V27" i="20"/>
  <c r="T30" i="20"/>
  <c r="V34" i="20"/>
  <c r="V53" i="20" s="1"/>
  <c r="V45" i="20"/>
  <c r="V55" i="20" l="1"/>
  <c r="V56" i="20" s="1"/>
  <c r="S53" i="20"/>
  <c r="S57" i="20" s="1"/>
  <c r="S58" i="20" s="1"/>
  <c r="Q53" i="20"/>
  <c r="V57" i="20" l="1"/>
  <c r="V58" i="20" s="1"/>
  <c r="O58" i="20" s="1"/>
  <c r="D4" i="12" l="1"/>
  <c r="S21" i="11"/>
  <c r="S22" i="11" s="1"/>
  <c r="R21" i="11"/>
  <c r="R22" i="11" s="1"/>
  <c r="Q21" i="11"/>
  <c r="Q22" i="11" s="1"/>
  <c r="P21" i="11"/>
  <c r="P22" i="11" s="1"/>
  <c r="T19" i="11"/>
  <c r="T24" i="11" s="1"/>
  <c r="S19" i="11"/>
  <c r="S23" i="11" s="1"/>
  <c r="S24" i="11" s="1"/>
  <c r="R19" i="11"/>
  <c r="Q19" i="11"/>
  <c r="Q23" i="11" s="1"/>
  <c r="P19" i="11"/>
  <c r="P23" i="11" s="1"/>
  <c r="N19" i="11"/>
  <c r="M17" i="11"/>
  <c r="M16" i="11"/>
  <c r="M15" i="11"/>
  <c r="M14" i="11"/>
  <c r="M13" i="11"/>
  <c r="M12" i="11"/>
  <c r="M11" i="11"/>
  <c r="M10" i="11"/>
  <c r="M9" i="11"/>
  <c r="M8" i="11"/>
  <c r="M19" i="11" s="1"/>
  <c r="Q24" i="11" l="1"/>
  <c r="P24" i="11"/>
  <c r="R23" i="11"/>
  <c r="R24" i="11" s="1"/>
  <c r="M24" i="11" l="1"/>
  <c r="S29" i="7" l="1"/>
  <c r="S30" i="7" s="1"/>
  <c r="R29" i="7"/>
  <c r="R31" i="7" s="1"/>
  <c r="Q29" i="7"/>
  <c r="Q30" i="7" s="1"/>
  <c r="P29" i="7"/>
  <c r="P30" i="7" s="1"/>
  <c r="T27" i="7"/>
  <c r="T32" i="7" s="1"/>
  <c r="S27" i="7"/>
  <c r="S31" i="7" s="1"/>
  <c r="S32" i="7" s="1"/>
  <c r="R27" i="7"/>
  <c r="Q27" i="7"/>
  <c r="Q31" i="7" s="1"/>
  <c r="Q32" i="7" s="1"/>
  <c r="P27" i="7"/>
  <c r="P31" i="7" s="1"/>
  <c r="N27" i="7"/>
  <c r="M25" i="7"/>
  <c r="M24" i="7"/>
  <c r="M23" i="7"/>
  <c r="M22" i="7"/>
  <c r="M21" i="7"/>
  <c r="M20" i="7"/>
  <c r="M19" i="7"/>
  <c r="M18" i="7"/>
  <c r="M17" i="7"/>
  <c r="M16" i="7"/>
  <c r="M15" i="7"/>
  <c r="M14" i="7"/>
  <c r="M13" i="7"/>
  <c r="M12" i="7"/>
  <c r="M11" i="7"/>
  <c r="M10" i="7"/>
  <c r="M9" i="7"/>
  <c r="M8" i="7"/>
  <c r="M27" i="7" s="1"/>
  <c r="P32" i="7" l="1"/>
  <c r="R30" i="7"/>
  <c r="R32" i="7" s="1"/>
  <c r="M32" i="7" l="1"/>
</calcChain>
</file>

<file path=xl/sharedStrings.xml><?xml version="1.0" encoding="utf-8"?>
<sst xmlns="http://schemas.openxmlformats.org/spreadsheetml/2006/main" count="521" uniqueCount="157">
  <si>
    <t>Obj.Hoofdelement</t>
  </si>
  <si>
    <t>Obj.Element</t>
  </si>
  <si>
    <t>Materiaal</t>
  </si>
  <si>
    <t>Hoeveelheid</t>
  </si>
  <si>
    <t>Eenheid</t>
  </si>
  <si>
    <t>MKI/ eenheid</t>
  </si>
  <si>
    <t xml:space="preserve">Bron LCA </t>
  </si>
  <si>
    <t>Totaal voor de hele projectperiode</t>
  </si>
  <si>
    <t>MKI-berekening van een geluidsscherm</t>
  </si>
  <si>
    <t>Levensduur</t>
  </si>
  <si>
    <t>1. Functionele eenheid</t>
  </si>
  <si>
    <t xml:space="preserve">5. Totaal voor de hele project periode </t>
  </si>
  <si>
    <t>4. Milieuprestatie per eenheid</t>
  </si>
  <si>
    <t>3. Decompositie in materialen</t>
  </si>
  <si>
    <t>2. Objectenboom</t>
  </si>
  <si>
    <t>Levensduur (jaar)</t>
  </si>
  <si>
    <t>Naam</t>
  </si>
  <si>
    <t>MKI</t>
  </si>
  <si>
    <t>Geluidsscherm, type modulair, met panelen van gewapend beton</t>
  </si>
  <si>
    <t>m2</t>
  </si>
  <si>
    <t>Geluidsscherm, type modulair, deelproduct aluminium paneel</t>
  </si>
  <si>
    <t>Geluidsscherm, type modulair, deelproduct cassettes met geimpregneerd en geverfd hout</t>
  </si>
  <si>
    <t>Geluidsscherm, type modulair, deelproduct cassettes met hout duurzaamheidsklasse II</t>
  </si>
  <si>
    <t>Geluidsscherm, type modulair, deelproduct cassettes met kunststof</t>
  </si>
  <si>
    <t>Geluidsscherm, type modulair, deelproduct fundering</t>
  </si>
  <si>
    <t>Geluidsscherm, type modulair, deelproduct paneel gepigmenteerd gewapend beton</t>
  </si>
  <si>
    <t>Geluidsscherm, type modulair, deelproduct paneel gewapend beton</t>
  </si>
  <si>
    <t>Geluidsscherm, type modulair, deelproduct paneel gewapend houtvezel beton</t>
  </si>
  <si>
    <t>Geluidsscherm, type modulair, met aluminium panelen</t>
  </si>
  <si>
    <t>Geluidsscherm, type modulair, met cassettes met geimpregneerd en geverfd hout</t>
  </si>
  <si>
    <t>Geluidsscherm, type modulair, met cassettes met kunststof</t>
  </si>
  <si>
    <t>Geluidsscherm, type modulair, met panelen van gewapend houtvezelbeton</t>
  </si>
  <si>
    <t>Omschrijving</t>
  </si>
  <si>
    <t>Het betreft een compleet geluidsscherm met als schermvulling panelen van prefab gewapend beton. Deze zijn gemonteerd tussen stalen stijlen op een fundering van gewapend beton. De MKI is berekend voor een hoogte van 2m. Het geluidsscherm is schaalbaar tot 8m. Levensduur is 50 jaar.</t>
  </si>
  <si>
    <t>Betreft een cassette met aluminium beplating en steenwolvulling 100x600x20cm. De MKI van het paneel wordt berekend per m2 geluidscherm. Het geluidscherm is schaalbaar tot een hoogte van 8 meter. De bouwtijd voor het demonteren van de cassettes schaalt mee met de hoogte van het scherm.</t>
  </si>
  <si>
    <t>Betreft een cassette met hout 100x600x2,2cm. De levensduur van hout is 30 jaar, de cassette wordt gedurende de levensduur van het geluidsscherm vervangen. De MKI wordt berekend per m2 geluidsscherm. Het geluidsscherm is schaalbaar tot een hoogte van 8 meter. De bouwtijd voor het demonteren van de cassettes schaalt mee met de hoogte van het scherm.</t>
  </si>
  <si>
    <t>Betreft een cassette met tropisch hardhout azobe 100x600x2,2cm. De levensduur van hout is 30 jaar, de cassette wordt dus gedurende de levensduur van het geluidsscherm vervangen. De MKI wordt berekend per m2 geluidsscherm. Het geluidsscherm is schaalbaar tot een hoogte van 8 meter. De bouwtijd voor het demonteren van de cassettes schaalt mee met de hoogte van het scherm.</t>
  </si>
  <si>
    <t>Betreft een cassette met kunststofPMMA 100x600x2cm. De cassette dient als scherm.De MKI is berekend per m2 geluidsscherm met een hoogte van 2m. Het geluidsscherm is schaalbaar tot een hoogte tot 8 meter. De bouwtijd voor het demonteren van de cassettes schaalt mee met de hoogte van het scherm.</t>
  </si>
  <si>
    <t>Betreft de fundering van een geluidsscherm: poerenkespen opstort en voorgespannen betonpalen. Beide onderdelen schalen per m2 scherm mee met de hoogte van het geluidsscherm. De bouwtijd voor het aanbrengen van de betonpalen schaalt mee met de hoogte van het geluidsscherm. Betonpalen blijven grotendeels zitten in de grond na einde levensduur. De MKI is berekend voor een schermhoogte van 2 meter.</t>
  </si>
  <si>
    <t>Betreft geprefabriceerde gewapende betonnen platen, gepigmenteerd 100x600x12cm. De MKI wordt berekend per m2 geluidsscherm. Het geluidsscherm is schaalbaar tot een hoogte van 8 meter. De bouwtijd voor het demonteren van de panelen schaalt mee met de hoogte van het scherm.</t>
  </si>
  <si>
    <t>Betreft geprefabriceerde gewapende betonnen panelen.100x600x12cm. De MKI wordt berekend per m2 geluidsscherm. Het geluidsscherm is schaalbaar tot een hoogte van 8 meter. De bouwtijd voor het demonteren van de panelen schaalt mee met de hoogte van het scherm.</t>
  </si>
  <si>
    <t>Betreft geprefabriceerde gewapende betonnen platen met houtvezelbeton 100x600x12cm.De MKI wordt berekend per m2 geluidsscherm. Het geluidsscherm is schaalbaar tot een hoogte van 8 meter. De bouwtijd voor het demonteren van de panelen schaalt mee met de hoogte van het scherm.</t>
  </si>
  <si>
    <t>Het betreft een compleet geluidsscherm met als schermvulling panelen van aluminium met steenwolvulling. Deze zijn gemonteerd tussen stalen stijlen op een fundering van gewapend beton hart op hart 6 meter. De MKI is berekend voor een hoogte van 2m. Het geluidsscherm is schaalbaar tot 8m. Levensduur is 50 jaar.</t>
  </si>
  <si>
    <t>De MKI is berekend per per m2 geluidsscherm. Standaard schermhoogte is 2m en is schaalbaar tussen 2 en 8m. Het hout in de panelen betreft geimpregneerd en geverfd europees grenen. Deze zijn gemonteerd tussen stalen stijlen op een fundering van gewapend beton hart op hart 6 meter. Er is voor de panelen uitgegaan van een levensduur van 50 jaar, de rest van de deelproducten hebben ook een levensduur van 50 jaar.</t>
  </si>
  <si>
    <t>Het betreft een compleet geluidsscherm. Met cassettes, fundering en stijlen. De hoogte van de geluidsscherm is 2m en is schaalbaar tot een hoogte van 8 meter. De levensduur is 50 jaar. De panelen zijn van PMMA. Deze zijn gemonteerd tussen stalen stijlen op een fundering van gewapend beton hart op hart 6 meter.</t>
  </si>
  <si>
    <t>Het betreft een compleet geluidsscherm met als schermvulling panelen van prefab gewapend houtvezelbeton. Deze zijn gemonteerd tussen stalen stijlen op een fundering van gewapend beton hart op hart 6 meter. De MKI is berekend voor een hoogte van 2m. Het geluidsscherm is schaalbaar tot 8m. Levensduur is 50 jaar.</t>
  </si>
  <si>
    <t>Aluminium cassette geluidsscherm langs spoor</t>
  </si>
  <si>
    <t>De functionele eenheid betreft een m2 aluminium cassette met een levensduur van 50 jaar. Het geluidsscherm zoals beschreven in deze LCA bestaat uit tussenstijlen, geluidsabsorberende platen, profielen, verbindingsmaterialen en een betonplint, de fundering is niet opgenomen in deze LCA.</t>
  </si>
  <si>
    <t>Houtvezelbeton geluidsscherm langs spoor</t>
  </si>
  <si>
    <t>De functionele eenheid betreft een m2 geluidsscherm met een levensduur van 50 jaar.Het geluidsscherm zoals beschreven in deze LCA bestaat uit een betonplint, tussenstijlen en bevestigingsmaterialen, de fundering is niet opgenomen in deze LCA.</t>
  </si>
  <si>
    <t>Geluidscherm spoor, deelproduct aluminium paneel</t>
  </si>
  <si>
    <t>Betreft het schermonderdeel van het geluidsscherm: een paneel met aluminium beplating en steenwolvulling 100x600x20cm. De MKI van het paneel wordt berekend per m2 geluidscherm waarbij is uitgegaan van een hoogte van 3 meter. Het geluidscherm is schaalbaar tot een hoogte van 5 meter. De bouwtijd voor het demonteren van de panelen schaalt mee met de hoogte van het scherm.</t>
  </si>
  <si>
    <t>Geluidscherm spoor, deelproduct plint</t>
  </si>
  <si>
    <t>Betreft een betonnen plint waaraan de stijlen worden bevestigd. De plint De MKI van de plint wordt berekend per m2 geluidsscherm. Het geluidsscherm is schaalbaar tot een hoogte van 5 meter. De bouwtijd voor het demonteren van de plint schaalt mee met de hoogte van het scherm.</t>
  </si>
  <si>
    <t>Geluidscherm spoor, deelproduct stijl</t>
  </si>
  <si>
    <t>Per m2 geluidsscherm. Het geluidsscherm is schaalbaar tot en met een hoogte van 8 meter. Het gewicht van de stijlen en ankers schaalt mee met de hoogte. Ook schaalt de bouwtijd van het bevestigen van de stijlen mee met de hoogte.</t>
  </si>
  <si>
    <t>Geluidscherm spoor, deelproduct fundering</t>
  </si>
  <si>
    <t>De MKI van de fundering is berekend per m2 geluidsscherm. De levensduur van het geluidscherm betreft 50 jaar. De fundering bestaat uit een stalen buispaal en een betonprop gewapend. De fundering is schaalbaar, afhankelijk van de hoogte van het scherm verandert het gewicht. De hoogte van het scherm is schaalbaar tot een hoogte van 5 meter.</t>
  </si>
  <si>
    <t>Geluidscherm spoor, deelproduct rooster</t>
  </si>
  <si>
    <t>De MKI van het rooster wordt berekend per m2 geluidsscherm. Het geluidsscherm is schaalbaar tot een hoogte van 5 meter. De bouwtijd voor het demonteren van de plint schaalt mee met de hoogte van het scherm.</t>
  </si>
  <si>
    <t>Geluidscherm spoor, deelproduct schanskorf</t>
  </si>
  <si>
    <t>De MKI wordt berekend per m2 geluidsscherm. Het geluidsscherm is schaalbaar tot een hoogte tot 5 meter. De bouwtijd voor het demonteren van de plint schaalt mee met de hoogte van het scherm.</t>
  </si>
  <si>
    <t>Bron: Nationale Milieudatabase, benaderd via DuboCalc 6.0 (d.d. 19-1-22)</t>
  </si>
  <si>
    <t>1 km lang, 4 meter hoog</t>
  </si>
  <si>
    <t>Peildatum</t>
  </si>
  <si>
    <t>MKI-berekening van een riolering</t>
  </si>
  <si>
    <t>500 meter</t>
  </si>
  <si>
    <t>6. MKI Uitgesplitst naar levenscyclusfase</t>
  </si>
  <si>
    <t>Abiot. uiputting in Sb. [kg]</t>
  </si>
  <si>
    <t>A1-A3</t>
  </si>
  <si>
    <t>A4-A5</t>
  </si>
  <si>
    <t>B</t>
  </si>
  <si>
    <t>C</t>
  </si>
  <si>
    <t>D</t>
  </si>
  <si>
    <t>Naam Productkaart</t>
  </si>
  <si>
    <t>Stalen rioleringsbuis</t>
  </si>
  <si>
    <t>m1</t>
  </si>
  <si>
    <t>Het betreft stalen rioleringsbuizen, met als functionele eenheid m1. Het uitgangspunt zijn stalen buizen volgens de DIN EN 10220 032003 normering van Staaltype St37. De kaart is schaalbaar ingevoerd, met een standaard buisdiameter van 76,1mm.</t>
  </si>
  <si>
    <t>MKI-berekening van een oeverbescherming</t>
  </si>
  <si>
    <t>Damwand, staal (constructiestaal)</t>
  </si>
  <si>
    <t>Stalen damwanden van 12 m diep, AZ24-700, 0,136 ton/m2, per m2</t>
  </si>
  <si>
    <t>Damwand, staal (constructiestaal) 80 kg/m2</t>
  </si>
  <si>
    <t>Omrekening o.b.v. gewicht</t>
  </si>
  <si>
    <t>Damwand kunststof vezelversterkt</t>
  </si>
  <si>
    <t>Het betreft een kunststof damwand PP vezel versterkt met een dikte van 21mm. Vezel versterkt kunststof, UC95, 10 procent glasvezel aangenomen. De damwand is uitgewerkt per m2 en weeg ca. 25,1 kgm2.</t>
  </si>
  <si>
    <t>Damwand hout</t>
  </si>
  <si>
    <t>Het betreft een houten damwand met een dikte van 0,05m. Het hout is Europees naaldhout. Er is uitgegaan van een gewicht van 40 kgm2.</t>
  </si>
  <si>
    <t>Ophoogmateriaal, grond</t>
  </si>
  <si>
    <t>m3</t>
  </si>
  <si>
    <t>Per m3. Grond is vast materiaal dat bestaat uit minerale delen met een maximale korrelgrootte van 2 millimeter en organische stof in een verhouding en met een structuur zoals deze in de bodem van nature worden aangetroffen, alsmede van nature in de bodem voorkomende schelpen en grind met een korrelgrootte van 2 tot 63 mm. Er is een soortelijk gewicht van 1625 kgm3 aangehouden.</t>
  </si>
  <si>
    <t>Bekleding; waterbouwsteen, breuksteen, natuursteen</t>
  </si>
  <si>
    <t>Per m2. Bijdrage aan hoofdproduct: berekend per m2 met een dikte van circa 60cm.</t>
  </si>
  <si>
    <t>Geotextiel vlies</t>
  </si>
  <si>
    <t>Het uitgangspunt is geotextiel van PP vlies. Het geotextiel vlies is uitgewerkt per 1 m2</t>
  </si>
  <si>
    <t>Hergebruikte steen waterbouw</t>
  </si>
  <si>
    <t>Breuksteen als bestortingoeverbescherming verwerkt. Projectgrootte 10.000 ton. Sloop d.m.v. hydraulische graafmachine op ponton met vlet worden het aangebrachte grind opgegraven.Eenheid is m2. Soortelijk gewicht is 2500 kgm2.</t>
  </si>
  <si>
    <t>Graafmachine, cat. IV, diesel</t>
  </si>
  <si>
    <t>h</t>
  </si>
  <si>
    <t>Graafmachine, 50 kW, categorie IV, diesel, per uur. Op basis van '20 LCAs van brandstofmachinecombinaties', TNO, 2018.</t>
  </si>
  <si>
    <t>MKI-berekening van een viaduct over een snelweg met 2 x 3 rijstroken en vluchtstroken (snelwegverbreding)</t>
  </si>
  <si>
    <t>Objectenboom</t>
  </si>
  <si>
    <t>Decompositie in materialen</t>
  </si>
  <si>
    <t>Milieuprestatie per eenheid</t>
  </si>
  <si>
    <t xml:space="preserve">Totaal voor de hele project periode </t>
  </si>
  <si>
    <t>MKI Uitgesplitst naar levenscyclusfase</t>
  </si>
  <si>
    <t>CO2 eq. / eenheid</t>
  </si>
  <si>
    <t>Sb. Eq. / eenheid</t>
  </si>
  <si>
    <t xml:space="preserve">Dubo Calc cat. 3? </t>
  </si>
  <si>
    <t>MKI [Euro]</t>
  </si>
  <si>
    <t>CO2 eq. [kg]</t>
  </si>
  <si>
    <t>Demonteren brugdek</t>
  </si>
  <si>
    <t>Frezen asfaltverharding</t>
  </si>
  <si>
    <t>Vrijkomend - Asfalt, ZOAB regulier</t>
  </si>
  <si>
    <t>ton</t>
  </si>
  <si>
    <t>NMD versie 2.3 DuboCalc 6.01.27092018</t>
  </si>
  <si>
    <t>Nee</t>
  </si>
  <si>
    <t>Slopen opsluitband</t>
  </si>
  <si>
    <t>Vrijkomend - Betonband klein (vrijkomend)</t>
  </si>
  <si>
    <t>Ja</t>
  </si>
  <si>
    <t>Slopen einddwarsdragers</t>
  </si>
  <si>
    <t xml:space="preserve">Vrijkomend - Betonmortel C35/45 (CEMIII) </t>
  </si>
  <si>
    <t xml:space="preserve">Vrijkomend - Betonstaal </t>
  </si>
  <si>
    <t>Slopen prefab liggers</t>
  </si>
  <si>
    <t>Vrijkomend - Betonmortel C70/85 (CEMI-CEMIII)</t>
  </si>
  <si>
    <t>Zagen druklaag</t>
  </si>
  <si>
    <t>Bouwen brugdek</t>
  </si>
  <si>
    <t>Prefab liggers - A1-A3</t>
  </si>
  <si>
    <t>Betonmortel C70/85 (CEMI-CEMIII)</t>
  </si>
  <si>
    <t>Betonstaal</t>
  </si>
  <si>
    <t>Prefab liggers - A4-A5</t>
  </si>
  <si>
    <t>Telekraan, diesel</t>
  </si>
  <si>
    <t>LCA Achtergrondprocessen</t>
  </si>
  <si>
    <t>EURO6, diesel</t>
  </si>
  <si>
    <t>tonkm</t>
  </si>
  <si>
    <t>Prefab liggers C1-C4</t>
  </si>
  <si>
    <t>Prefab randliggers</t>
  </si>
  <si>
    <t>Einddwarsliggers</t>
  </si>
  <si>
    <t>Betonmortel C35/45 (CEMIII)</t>
  </si>
  <si>
    <t>Druklaag</t>
  </si>
  <si>
    <t>Bouwen steunpunten</t>
  </si>
  <si>
    <t>Prefab betonpalen</t>
  </si>
  <si>
    <t>Betonmortel C55/67 (CEMI-CEMIII)</t>
  </si>
  <si>
    <t>Poer</t>
  </si>
  <si>
    <t>Betonmortel C30/37 (CEMIII)</t>
  </si>
  <si>
    <t>Kolommen</t>
  </si>
  <si>
    <t>Onderslagbalk</t>
  </si>
  <si>
    <t>Bouwen landhoofden</t>
  </si>
  <si>
    <t xml:space="preserve">beton prefab palen </t>
  </si>
  <si>
    <t xml:space="preserve">beton frontwand en sloof </t>
  </si>
  <si>
    <t xml:space="preserve">beton vleugelwanden </t>
  </si>
  <si>
    <t xml:space="preserve">beton stootplaten rijbaan </t>
  </si>
  <si>
    <t xml:space="preserve">beton stootplaten fietspad </t>
  </si>
  <si>
    <t>…</t>
  </si>
  <si>
    <t>Geluidsscherm</t>
  </si>
  <si>
    <t>Fundering</t>
  </si>
  <si>
    <t>Scherm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</si>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</sst>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00_);_(&quot;€&quot;* \(#,##0.00\);_(&quot;€&quot;* &quot;-&quot;??_);_(@_)"/>
    <numFmt numFmtId="165" formatCode="_(* #,##0.00_);_(* \(#,##0.00\);_(* &quot;-&quot;??_);_(@_)"/>
    <numFmt numFmtId="166" formatCode="#,##0.000"/>
    <numFmt numFmtId="167" formatCode="_ * #,##0.0_ ;_ * \-#,##0.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sz val="11"/>
      <name val="Calibri"/>
      <family val="2"/>
    </font>
    <font>
      <sz val="11"/>
      <name val="Calibri"/>
      <family val="2"/>
      <scheme val="minor"/>
    </font>
  </fonts>
  <fills count="7">
    <fill>
      <patternFill patternType="none"/>
    </fill>
    <fill>
      <patternFill patternType="gray125"/>
    </fill>
    <fill>
      <patternFill patternType="solid">
        <fgColor rgb="FF006666"/>
        <bgColor indexed="64"/>
      </patternFill>
    </fill>
    <fill>
      <patternFill patternType="solid">
        <fgColor rgb="FFC6E8E5"/>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s>
  <borders count="20">
    <border>
      <left/>
      <right/>
      <top/>
      <bottom/>
      <diagonal/>
    </border>
    <border>
      <left style="thin">
        <color theme="0"/>
      </left>
      <right style="thin">
        <color theme="0"/>
      </right>
      <top style="thin">
        <color theme="0"/>
      </top>
      <bottom style="thin">
        <color theme="0"/>
      </bottom>
      <diagonal/>
    </border>
    <border>
      <left/>
      <right style="hair">
        <color theme="0" tint="-0.34998626667073579"/>
      </right>
      <top style="thin">
        <color theme="0"/>
      </top>
      <bottom style="hair">
        <color theme="0" tint="-0.34998626667073579"/>
      </bottom>
      <diagonal/>
    </border>
    <border>
      <left style="hair">
        <color theme="0" tint="-0.34998626667073579"/>
      </left>
      <right/>
      <top style="thin">
        <color theme="0"/>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34998626667073579"/>
      </left>
      <right style="hair">
        <color theme="0" tint="-0.34998626667073579"/>
      </right>
      <top style="thin">
        <color theme="0"/>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right/>
      <top/>
      <bottom style="thin">
        <color theme="0"/>
      </bottom>
      <diagonal/>
    </border>
    <border>
      <left/>
      <right/>
      <top style="thin">
        <color theme="0"/>
      </top>
      <bottom style="hair">
        <color theme="0" tint="-0.34998626667073579"/>
      </bottom>
      <diagonal/>
    </border>
    <border>
      <left/>
      <right/>
      <top style="hair">
        <color theme="0" tint="-0.34998626667073579"/>
      </top>
      <bottom/>
      <diagonal/>
    </border>
    <border>
      <left style="hair">
        <color theme="0" tint="-0.34998626667073579"/>
      </left>
      <right style="thin">
        <color theme="0"/>
      </right>
      <top style="thin">
        <color theme="0"/>
      </top>
      <bottom style="hair">
        <color theme="0" tint="-0.34998626667073579"/>
      </bottom>
      <diagonal/>
    </border>
    <border>
      <left style="hair">
        <color theme="0" tint="-0.34998626667073579"/>
      </left>
      <right style="thin">
        <color theme="0"/>
      </right>
      <top style="hair">
        <color theme="0" tint="-0.34998626667073579"/>
      </top>
      <bottom style="hair">
        <color theme="0" tint="-0.34998626667073579"/>
      </bottom>
      <diagonal/>
    </border>
    <border>
      <left style="hair">
        <color theme="0" tint="-0.34998626667073579"/>
      </left>
      <right style="thin">
        <color theme="0"/>
      </right>
      <top style="hair">
        <color theme="0" tint="-0.34998626667073579"/>
      </top>
      <bottom/>
      <diagonal/>
    </border>
  </borders>
  <cellStyleXfs count="4">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cellStyleXfs>
  <cellXfs count="93">
    <xf numFmtId="0" fontId="0" fillId="0" borderId="0" xfId="0"/>
    <xf numFmtId="0" fontId="2" fillId="0" borderId="0" xfId="0" applyFont="1"/>
    <xf numFmtId="1" fontId="0" fillId="0" borderId="0" xfId="0" applyNumberFormat="1"/>
    <xf numFmtId="164" fontId="4" fillId="2" borderId="0" xfId="2" applyFont="1" applyFill="1" applyBorder="1" applyAlignment="1" applyProtection="1">
      <alignment vertical="top" wrapText="1"/>
      <protection locked="0"/>
    </xf>
    <xf numFmtId="3" fontId="0" fillId="0" borderId="0" xfId="0" applyNumberFormat="1"/>
    <xf numFmtId="4" fontId="0" fillId="0" borderId="0" xfId="0" applyNumberForma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4" fontId="0" fillId="0" borderId="8" xfId="0" applyNumberFormat="1" applyBorder="1"/>
    <xf numFmtId="4" fontId="0" fillId="0" borderId="9" xfId="0" applyNumberFormat="1" applyBorder="1"/>
    <xf numFmtId="4" fontId="0" fillId="0" borderId="10" xfId="0" applyNumberFormat="1" applyBorder="1"/>
    <xf numFmtId="4" fontId="0" fillId="0" borderId="2" xfId="0" applyNumberFormat="1" applyBorder="1"/>
    <xf numFmtId="4" fontId="0" fillId="0" borderId="4" xfId="0" applyNumberFormat="1" applyBorder="1"/>
    <xf numFmtId="4" fontId="0" fillId="0" borderId="6" xfId="0" applyNumberFormat="1" applyBorder="1"/>
    <xf numFmtId="3" fontId="0" fillId="0" borderId="4" xfId="0" applyNumberFormat="1" applyBorder="1"/>
    <xf numFmtId="0" fontId="3" fillId="3" borderId="1" xfId="1" applyFont="1" applyFill="1" applyBorder="1" applyAlignment="1" applyProtection="1">
      <alignment horizontal="left" vertical="top"/>
      <protection locked="0"/>
    </xf>
    <xf numFmtId="4" fontId="3" fillId="3" borderId="1" xfId="1" applyNumberFormat="1" applyFont="1" applyFill="1" applyBorder="1" applyAlignment="1" applyProtection="1">
      <alignment horizontal="left" vertical="top"/>
      <protection locked="0"/>
    </xf>
    <xf numFmtId="4" fontId="3" fillId="3" borderId="1" xfId="2" applyNumberFormat="1" applyFont="1" applyFill="1" applyBorder="1" applyAlignment="1" applyProtection="1">
      <alignment vertical="top" wrapText="1"/>
      <protection locked="0"/>
    </xf>
    <xf numFmtId="164" fontId="3" fillId="3" borderId="1" xfId="2" applyFont="1" applyFill="1" applyBorder="1" applyAlignment="1" applyProtection="1">
      <alignment vertical="top"/>
      <protection locked="0"/>
    </xf>
    <xf numFmtId="164" fontId="3" fillId="3" borderId="0" xfId="2" applyFont="1" applyFill="1" applyBorder="1" applyAlignment="1" applyProtection="1">
      <alignment vertical="top" wrapText="1"/>
      <protection locked="0"/>
    </xf>
    <xf numFmtId="1" fontId="3" fillId="3" borderId="1" xfId="2" applyNumberFormat="1" applyFont="1" applyFill="1" applyBorder="1" applyAlignment="1" applyProtection="1">
      <alignment vertical="top" wrapText="1"/>
      <protection locked="0"/>
    </xf>
    <xf numFmtId="3" fontId="3" fillId="3" borderId="1" xfId="2" applyNumberFormat="1" applyFont="1" applyFill="1" applyBorder="1" applyAlignment="1" applyProtection="1">
      <alignment vertical="top" wrapText="1"/>
      <protection locked="0"/>
    </xf>
    <xf numFmtId="4" fontId="4" fillId="2" borderId="0" xfId="2" applyNumberFormat="1" applyFont="1" applyFill="1" applyBorder="1" applyAlignment="1" applyProtection="1">
      <alignment vertical="top"/>
      <protection locked="0"/>
    </xf>
    <xf numFmtId="164" fontId="4" fillId="2" borderId="0" xfId="2" applyFont="1" applyFill="1" applyBorder="1" applyAlignment="1" applyProtection="1">
      <alignment vertical="top"/>
      <protection locked="0"/>
    </xf>
    <xf numFmtId="1" fontId="4" fillId="2" borderId="0" xfId="2" applyNumberFormat="1" applyFont="1" applyFill="1" applyBorder="1" applyAlignment="1" applyProtection="1">
      <alignment vertical="top" wrapText="1"/>
      <protection locked="0"/>
    </xf>
    <xf numFmtId="0" fontId="3" fillId="3" borderId="1" xfId="1" applyFont="1" applyFill="1" applyBorder="1" applyAlignment="1" applyProtection="1">
      <alignment horizontal="right" vertical="top"/>
      <protection locked="0"/>
    </xf>
    <xf numFmtId="0" fontId="0" fillId="0" borderId="12" xfId="0" applyBorder="1"/>
    <xf numFmtId="0" fontId="0" fillId="0" borderId="13" xfId="0" applyBorder="1"/>
    <xf numFmtId="3" fontId="0" fillId="0" borderId="11" xfId="0" applyNumberFormat="1" applyBorder="1" applyAlignment="1">
      <alignment horizontal="right"/>
    </xf>
    <xf numFmtId="3" fontId="0" fillId="0" borderId="4" xfId="0" applyNumberFormat="1" applyBorder="1" applyAlignment="1">
      <alignment horizontal="right"/>
    </xf>
    <xf numFmtId="4" fontId="3" fillId="3" borderId="0" xfId="2" applyNumberFormat="1" applyFont="1" applyFill="1" applyBorder="1" applyAlignment="1" applyProtection="1">
      <alignment vertical="top" wrapText="1"/>
      <protection locked="0"/>
    </xf>
    <xf numFmtId="164" fontId="3" fillId="3" borderId="0" xfId="2" applyFont="1" applyFill="1" applyBorder="1" applyAlignment="1" applyProtection="1">
      <alignment vertical="top"/>
      <protection locked="0"/>
    </xf>
    <xf numFmtId="3" fontId="3" fillId="3" borderId="0" xfId="2" applyNumberFormat="1" applyFont="1" applyFill="1" applyBorder="1" applyAlignment="1" applyProtection="1">
      <alignment vertical="top" wrapText="1"/>
      <protection locked="0"/>
    </xf>
    <xf numFmtId="1" fontId="4" fillId="2" borderId="0" xfId="0" applyNumberFormat="1" applyFont="1" applyFill="1" applyAlignment="1">
      <alignment wrapText="1"/>
    </xf>
    <xf numFmtId="14" fontId="0" fillId="0" borderId="13" xfId="0" applyNumberFormat="1" applyBorder="1"/>
    <xf numFmtId="14" fontId="0" fillId="0" borderId="5" xfId="0" applyNumberFormat="1" applyBorder="1"/>
    <xf numFmtId="14" fontId="0" fillId="0" borderId="7" xfId="0" applyNumberFormat="1" applyBorder="1"/>
    <xf numFmtId="0" fontId="4" fillId="2" borderId="0" xfId="0" applyFont="1" applyFill="1"/>
    <xf numFmtId="4" fontId="4" fillId="2" borderId="0" xfId="0" applyNumberFormat="1" applyFont="1" applyFill="1"/>
    <xf numFmtId="1" fontId="4" fillId="2" borderId="0" xfId="0" applyNumberFormat="1" applyFont="1" applyFill="1"/>
    <xf numFmtId="0" fontId="4" fillId="2" borderId="0" xfId="1" applyFont="1" applyFill="1" applyAlignment="1" applyProtection="1">
      <alignment horizontal="left" vertical="top"/>
      <protection locked="0"/>
    </xf>
    <xf numFmtId="4" fontId="4" fillId="2" borderId="0" xfId="1" applyNumberFormat="1" applyFont="1" applyFill="1" applyAlignment="1" applyProtection="1">
      <alignment horizontal="left" vertical="top"/>
      <protection locked="0"/>
    </xf>
    <xf numFmtId="1" fontId="4" fillId="2" borderId="14" xfId="2" applyNumberFormat="1" applyFont="1" applyFill="1" applyBorder="1" applyAlignment="1" applyProtection="1">
      <alignment horizontal="left" vertical="top" wrapText="1"/>
      <protection locked="0"/>
    </xf>
    <xf numFmtId="1" fontId="3" fillId="4" borderId="0" xfId="2" applyNumberFormat="1" applyFont="1" applyFill="1" applyBorder="1" applyAlignment="1" applyProtection="1">
      <alignment vertical="top" wrapText="1"/>
      <protection locked="0"/>
    </xf>
    <xf numFmtId="1" fontId="4" fillId="2" borderId="0" xfId="2" applyNumberFormat="1" applyFont="1" applyFill="1" applyBorder="1" applyAlignment="1" applyProtection="1">
      <alignment vertical="top"/>
      <protection locked="0"/>
    </xf>
    <xf numFmtId="1" fontId="3" fillId="4" borderId="1" xfId="2" applyNumberFormat="1" applyFont="1" applyFill="1" applyBorder="1" applyAlignment="1" applyProtection="1">
      <alignment vertical="top" wrapText="1"/>
      <protection locked="0"/>
    </xf>
    <xf numFmtId="3" fontId="0" fillId="0" borderId="8" xfId="0" applyNumberFormat="1" applyBorder="1"/>
    <xf numFmtId="4" fontId="0" fillId="0" borderId="11" xfId="0" applyNumberFormat="1" applyBorder="1" applyAlignment="1">
      <alignment horizontal="right"/>
    </xf>
    <xf numFmtId="166" fontId="0" fillId="0" borderId="15" xfId="0" applyNumberFormat="1" applyBorder="1"/>
    <xf numFmtId="3" fontId="0" fillId="0" borderId="2" xfId="0" applyNumberFormat="1" applyBorder="1"/>
    <xf numFmtId="3" fontId="0" fillId="0" borderId="3" xfId="0" applyNumberFormat="1" applyBorder="1"/>
    <xf numFmtId="166" fontId="0" fillId="0" borderId="11" xfId="0" applyNumberFormat="1" applyBorder="1"/>
    <xf numFmtId="3" fontId="0" fillId="0" borderId="9" xfId="0" applyNumberFormat="1" applyBorder="1"/>
    <xf numFmtId="3" fontId="0" fillId="0" borderId="5" xfId="0" applyNumberFormat="1" applyBorder="1"/>
    <xf numFmtId="166" fontId="0" fillId="0" borderId="16" xfId="0" applyNumberFormat="1" applyBorder="1"/>
    <xf numFmtId="3" fontId="0" fillId="0" borderId="6" xfId="0" applyNumberFormat="1" applyBorder="1"/>
    <xf numFmtId="3" fontId="0" fillId="0" borderId="10" xfId="0" applyNumberFormat="1" applyBorder="1"/>
    <xf numFmtId="3" fontId="0" fillId="0" borderId="7" xfId="0" applyNumberFormat="1" applyBorder="1"/>
    <xf numFmtId="3" fontId="3" fillId="4" borderId="1" xfId="2" applyNumberFormat="1" applyFont="1" applyFill="1" applyBorder="1" applyAlignment="1" applyProtection="1">
      <alignment vertical="top" wrapText="1"/>
      <protection locked="0"/>
    </xf>
    <xf numFmtId="167" fontId="3" fillId="5" borderId="0" xfId="3" applyNumberFormat="1" applyFont="1" applyFill="1" applyBorder="1" applyAlignment="1" applyProtection="1">
      <alignment horizontal="right" vertical="top" wrapText="1"/>
      <protection locked="0"/>
    </xf>
    <xf numFmtId="0" fontId="2" fillId="5" borderId="0" xfId="0" applyFont="1" applyFill="1" applyAlignment="1">
      <alignment horizontal="right"/>
    </xf>
    <xf numFmtId="0" fontId="2" fillId="5" borderId="0" xfId="0" applyFont="1" applyFill="1"/>
    <xf numFmtId="3" fontId="0" fillId="6" borderId="0" xfId="0" applyNumberFormat="1" applyFill="1"/>
    <xf numFmtId="0" fontId="4" fillId="2" borderId="0" xfId="0" applyFont="1" applyFill="1" applyAlignment="1">
      <alignment wrapText="1"/>
    </xf>
    <xf numFmtId="0" fontId="0" fillId="0" borderId="0" xfId="0" applyAlignment="1">
      <alignment wrapText="1"/>
    </xf>
    <xf numFmtId="166" fontId="0" fillId="0" borderId="13" xfId="0" applyNumberFormat="1" applyBorder="1"/>
    <xf numFmtId="3" fontId="0" fillId="0" borderId="13" xfId="0" applyNumberFormat="1" applyBorder="1"/>
    <xf numFmtId="4" fontId="4" fillId="2" borderId="0" xfId="2" applyNumberFormat="1" applyFont="1" applyFill="1" applyBorder="1" applyAlignment="1" applyProtection="1">
      <alignment vertical="top" wrapText="1"/>
      <protection locked="0"/>
    </xf>
    <xf numFmtId="0" fontId="5" fillId="5" borderId="1" xfId="3" applyNumberFormat="1" applyFont="1" applyFill="1" applyBorder="1" applyAlignment="1" applyProtection="1">
      <alignment vertical="top"/>
      <protection locked="0"/>
    </xf>
    <xf numFmtId="167" fontId="6" fillId="5" borderId="1" xfId="3" applyNumberFormat="1" applyFont="1" applyFill="1" applyBorder="1" applyAlignment="1" applyProtection="1">
      <alignment vertical="top"/>
      <protection locked="0"/>
    </xf>
    <xf numFmtId="4" fontId="6" fillId="5" borderId="1" xfId="3" applyNumberFormat="1" applyFont="1" applyFill="1" applyBorder="1" applyAlignment="1" applyProtection="1">
      <alignment vertical="top" wrapText="1"/>
      <protection locked="0"/>
    </xf>
    <xf numFmtId="167" fontId="6" fillId="5" borderId="1" xfId="3" applyNumberFormat="1" applyFont="1" applyFill="1" applyBorder="1" applyAlignment="1" applyProtection="1">
      <alignment vertical="top" wrapText="1"/>
      <protection locked="0"/>
    </xf>
    <xf numFmtId="4" fontId="5" fillId="5" borderId="1" xfId="3" applyNumberFormat="1" applyFont="1" applyFill="1" applyBorder="1" applyAlignment="1" applyProtection="1">
      <alignment vertical="top" wrapText="1"/>
      <protection locked="0"/>
    </xf>
    <xf numFmtId="1" fontId="6" fillId="5" borderId="1" xfId="3" applyNumberFormat="1" applyFont="1" applyFill="1" applyBorder="1" applyAlignment="1" applyProtection="1">
      <alignment vertical="top" wrapText="1"/>
      <protection locked="0"/>
    </xf>
    <xf numFmtId="0" fontId="0" fillId="0" borderId="8" xfId="0" applyBorder="1"/>
    <xf numFmtId="3" fontId="0" fillId="0" borderId="17" xfId="0" applyNumberFormat="1" applyBorder="1"/>
    <xf numFmtId="0" fontId="0" fillId="0" borderId="9" xfId="0" applyBorder="1"/>
    <xf numFmtId="3" fontId="0" fillId="0" borderId="18" xfId="0" applyNumberFormat="1" applyBorder="1"/>
    <xf numFmtId="0" fontId="0" fillId="0" borderId="10" xfId="0" applyBorder="1"/>
    <xf numFmtId="3" fontId="0" fillId="0" borderId="19" xfId="0" applyNumberFormat="1" applyBorder="1"/>
    <xf numFmtId="0" fontId="2" fillId="3" borderId="0" xfId="0" applyFont="1" applyFill="1"/>
    <xf numFmtId="0" fontId="3" fillId="3" borderId="0" xfId="1" applyFont="1" applyFill="1" applyAlignment="1" applyProtection="1">
      <alignment horizontal="left" vertical="top"/>
      <protection locked="0"/>
    </xf>
    <xf numFmtId="4" fontId="3" fillId="3" borderId="0" xfId="1" applyNumberFormat="1" applyFont="1" applyFill="1" applyAlignment="1" applyProtection="1">
      <alignment horizontal="left" vertical="top"/>
      <protection locked="0"/>
    </xf>
    <xf numFmtId="4" fontId="0" fillId="0" borderId="4" xfId="0" applyNumberFormat="1" applyBorder="1" applyAlignment="1">
      <alignment horizontal="right"/>
    </xf>
    <xf numFmtId="0" fontId="0" fillId="0" borderId="5" xfId="0" applyBorder="1" applyAlignment="1">
      <alignment horizontal="right"/>
    </xf>
    <xf numFmtId="1" fontId="4" fillId="2" borderId="14" xfId="2" applyNumberFormat="1" applyFont="1" applyFill="1" applyBorder="1" applyAlignment="1" applyProtection="1">
      <alignment horizontal="left" vertical="top" wrapText="1"/>
      <protection locked="0"/>
    </xf>
    <xf numFmtId="167" fontId="3" fillId="5" borderId="0" xfId="3" applyNumberFormat="1" applyFont="1" applyFill="1" applyBorder="1" applyAlignment="1" applyProtection="1">
      <alignment horizontal="right" vertical="top" wrapText="1"/>
      <protection locked="0"/>
    </xf>
    <xf numFmtId="0" fontId="2" fillId="5" borderId="0" xfId="0" applyFont="1" applyFill="1" applyAlignment="1">
      <alignment horizontal="right"/>
    </xf>
    <xf numFmtId="0" fontId="2" fillId="5" borderId="0" xfId="0" applyFont="1" applyFill="1"/>
  </cellXfs>
  <cellStyles count="4">
    <cellStyle name="Komma 2" xfId="3" xr:uid="{EA810EC1-23DE-4D9A-B60D-C7BBD0906CC5}"/>
    <cellStyle name="Standaard" xfId="0" builtinId="0"/>
    <cellStyle name="Standaard 2" xfId="1" xr:uid="{3E14ECA0-254E-4878-94D4-6C2FE09193E6}"/>
    <cellStyle name="Valuta 2" xfId="2" xr:uid="{7FDE6DD3-B25E-48FD-995E-08FFB2A58F6F}"/>
  </cellStyles>
  <dxfs count="0"/>
  <tableStyles count="1" defaultTableStyle="TableStyleMedium2" defaultPivotStyle="PivotStyleLight16">
    <tableStyle name="Invisible" pivot="0" table="0" count="0" xr9:uid="{D8E7E8E9-4123-485C-AC76-57D6E4C5936A}"/>
  </tableStyles>
  <colors>
    <mruColors>
      <color rgb="FFC6E8E5"/>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22-5CC6-11CF-8D67-00AA00BDCE1D}" ax:persistence="persistStream" r:id="rId1"/>
</file>

<file path=xl/activeX/activeX27.xml><?xml version="1.0" encoding="utf-8"?>
<ax:ocx xmlns:ax="http://schemas.microsoft.com/office/2006/activeX" xmlns:r="http://schemas.openxmlformats.org/officeDocument/2006/relationships" ax:classid="{5512D122-5CC6-11CF-8D67-00AA00BDCE1D}" ax:persistence="persistStream" r:id="rId1"/>
</file>

<file path=xl/activeX/activeX28.xml><?xml version="1.0" encoding="utf-8"?>
<ax:ocx xmlns:ax="http://schemas.microsoft.com/office/2006/activeX" xmlns:r="http://schemas.openxmlformats.org/officeDocument/2006/relationships" ax:classid="{5512D116-5CC6-11CF-8D67-00AA00BDCE1D}" ax:persistence="persistStream" r:id="rId1"/>
</file>

<file path=xl/activeX/activeX29.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30.xml><?xml version="1.0" encoding="utf-8"?>
<ax:ocx xmlns:ax="http://schemas.microsoft.com/office/2006/activeX" xmlns:r="http://schemas.openxmlformats.org/officeDocument/2006/relationships" ax:classid="{5512D116-5CC6-11CF-8D67-00AA00BDCE1D}" ax:persistence="persistStream" r:id="rId1"/>
</file>

<file path=xl/activeX/activeX31.xml><?xml version="1.0" encoding="utf-8"?>
<ax:ocx xmlns:ax="http://schemas.microsoft.com/office/2006/activeX" xmlns:r="http://schemas.openxmlformats.org/officeDocument/2006/relationships" ax:classid="{5512D116-5CC6-11CF-8D67-00AA00BDCE1D}" ax:persistence="persistStream" r:id="rId1"/>
</file>

<file path=xl/activeX/activeX32.xml><?xml version="1.0" encoding="utf-8"?>
<ax:ocx xmlns:ax="http://schemas.microsoft.com/office/2006/activeX" xmlns:r="http://schemas.openxmlformats.org/officeDocument/2006/relationships" ax:classid="{5512D116-5CC6-11CF-8D67-00AA00BDCE1D}" ax:persistence="persistStream" r:id="rId1"/>
</file>

<file path=xl/activeX/activeX33.xml><?xml version="1.0" encoding="utf-8"?>
<ax:ocx xmlns:ax="http://schemas.microsoft.com/office/2006/activeX" xmlns:r="http://schemas.openxmlformats.org/officeDocument/2006/relationships" ax:classid="{5512D116-5CC6-11CF-8D67-00AA00BDCE1D}" ax:persistence="persistStream" r:id="rId1"/>
</file>

<file path=xl/activeX/activeX34.xml><?xml version="1.0" encoding="utf-8"?>
<ax:ocx xmlns:ax="http://schemas.microsoft.com/office/2006/activeX" xmlns:r="http://schemas.openxmlformats.org/officeDocument/2006/relationships" ax:classid="{5512D116-5CC6-11CF-8D67-00AA00BDCE1D}" ax:persistence="persistStream" r:id="rId1"/>
</file>

<file path=xl/activeX/activeX35.xml><?xml version="1.0" encoding="utf-8"?>
<ax:ocx xmlns:ax="http://schemas.microsoft.com/office/2006/activeX" xmlns:r="http://schemas.openxmlformats.org/officeDocument/2006/relationships" ax:classid="{5512D116-5CC6-11CF-8D67-00AA00BDCE1D}" ax:persistence="persistStream" r:id="rId1"/>
</file>

<file path=xl/activeX/activeX36.xml><?xml version="1.0" encoding="utf-8"?>
<ax:ocx xmlns:ax="http://schemas.microsoft.com/office/2006/activeX" xmlns:r="http://schemas.openxmlformats.org/officeDocument/2006/relationships" ax:classid="{5512D116-5CC6-11CF-8D67-00AA00BDCE1D}" ax:persistence="persistStream" r:id="rId1"/>
</file>

<file path=xl/activeX/activeX37.xml><?xml version="1.0" encoding="utf-8"?>
<ax:ocx xmlns:ax="http://schemas.microsoft.com/office/2006/activeX" xmlns:r="http://schemas.openxmlformats.org/officeDocument/2006/relationships" ax:classid="{5512D116-5CC6-11CF-8D67-00AA00BDCE1D}" ax:persistence="persistStream" r:id="rId1"/>
</file>

<file path=xl/activeX/activeX38.xml><?xml version="1.0" encoding="utf-8"?>
<ax:ocx xmlns:ax="http://schemas.microsoft.com/office/2006/activeX" xmlns:r="http://schemas.openxmlformats.org/officeDocument/2006/relationships" ax:classid="{5512D116-5CC6-11CF-8D67-00AA00BDCE1D}" ax:persistence="persistStream" r:id="rId1"/>
</file>

<file path=xl/activeX/activeX39.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40.xml><?xml version="1.0" encoding="utf-8"?>
<ax:ocx xmlns:ax="http://schemas.microsoft.com/office/2006/activeX" xmlns:r="http://schemas.openxmlformats.org/officeDocument/2006/relationships" ax:classid="{5512D116-5CC6-11CF-8D67-00AA00BDCE1D}" ax:persistence="persistStream" r:id="rId1"/>
</file>

<file path=xl/activeX/activeX41.xml><?xml version="1.0" encoding="utf-8"?>
<ax:ocx xmlns:ax="http://schemas.microsoft.com/office/2006/activeX" xmlns:r="http://schemas.openxmlformats.org/officeDocument/2006/relationships" ax:classid="{5512D116-5CC6-11CF-8D67-00AA00BDCE1D}" ax:persistence="persistStream" r:id="rId1"/>
</file>

<file path=xl/activeX/activeX42.xml><?xml version="1.0" encoding="utf-8"?>
<ax:ocx xmlns:ax="http://schemas.microsoft.com/office/2006/activeX" xmlns:r="http://schemas.openxmlformats.org/officeDocument/2006/relationships" ax:classid="{5512D116-5CC6-11CF-8D67-00AA00BDCE1D}" ax:persistence="persistStream" r:id="rId1"/>
</file>

<file path=xl/activeX/activeX43.xml><?xml version="1.0" encoding="utf-8"?>
<ax:ocx xmlns:ax="http://schemas.microsoft.com/office/2006/activeX" xmlns:r="http://schemas.openxmlformats.org/officeDocument/2006/relationships" ax:classid="{5512D116-5CC6-11CF-8D67-00AA00BDCE1D}" ax:persistence="persistStream" r:id="rId1"/>
</file>

<file path=xl/activeX/activeX44.xml><?xml version="1.0" encoding="utf-8"?>
<ax:ocx xmlns:ax="http://schemas.microsoft.com/office/2006/activeX" xmlns:r="http://schemas.openxmlformats.org/officeDocument/2006/relationships" ax:classid="{5512D116-5CC6-11CF-8D67-00AA00BDCE1D}" ax:persistence="persistStream" r:id="rId1"/>
</file>

<file path=xl/activeX/activeX45.xml><?xml version="1.0" encoding="utf-8"?>
<ax:ocx xmlns:ax="http://schemas.microsoft.com/office/2006/activeX" xmlns:r="http://schemas.openxmlformats.org/officeDocument/2006/relationships" ax:classid="{5512D116-5CC6-11CF-8D67-00AA00BDCE1D}" ax:persistence="persistStream" r:id="rId1"/>
</file>

<file path=xl/activeX/activeX46.xml><?xml version="1.0" encoding="utf-8"?>
<ax:ocx xmlns:ax="http://schemas.microsoft.com/office/2006/activeX" xmlns:r="http://schemas.openxmlformats.org/officeDocument/2006/relationships" ax:classid="{5512D116-5CC6-11CF-8D67-00AA00BDCE1D}" ax:persistence="persistStream" r:id="rId1"/>
</file>

<file path=xl/activeX/activeX47.xml><?xml version="1.0" encoding="utf-8"?>
<ax:ocx xmlns:ax="http://schemas.microsoft.com/office/2006/activeX" xmlns:r="http://schemas.openxmlformats.org/officeDocument/2006/relationships" ax:classid="{5512D116-5CC6-11CF-8D67-00AA00BDCE1D}" ax:persistence="persistStream" r:id="rId1"/>
</file>

<file path=xl/activeX/activeX48.xml><?xml version="1.0" encoding="utf-8"?>
<ax:ocx xmlns:ax="http://schemas.microsoft.com/office/2006/activeX" xmlns:r="http://schemas.openxmlformats.org/officeDocument/2006/relationships" ax:classid="{5512D116-5CC6-11CF-8D67-00AA00BDCE1D}" ax:persistence="persistStream" r:id="rId1"/>
</file>

<file path=xl/activeX/activeX49.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50.xml><?xml version="1.0" encoding="utf-8"?>
<ax:ocx xmlns:ax="http://schemas.microsoft.com/office/2006/activeX" xmlns:r="http://schemas.openxmlformats.org/officeDocument/2006/relationships" ax:classid="{5512D116-5CC6-11CF-8D67-00AA00BDCE1D}" ax:persistence="persistStream" r:id="rId1"/>
</file>

<file path=xl/activeX/activeX51.xml><?xml version="1.0" encoding="utf-8"?>
<ax:ocx xmlns:ax="http://schemas.microsoft.com/office/2006/activeX" xmlns:r="http://schemas.openxmlformats.org/officeDocument/2006/relationships" ax:classid="{5512D116-5CC6-11CF-8D67-00AA00BDCE1D}" ax:persistence="persistStream" r:id="rId1"/>
</file>

<file path=xl/activeX/activeX52.xml><?xml version="1.0" encoding="utf-8"?>
<ax:ocx xmlns:ax="http://schemas.microsoft.com/office/2006/activeX" xmlns:r="http://schemas.openxmlformats.org/officeDocument/2006/relationships" ax:classid="{5512D11A-5CC6-11CF-8D67-00AA00BDCE1D}" ax:persistence="persistStream" r:id="rId1"/>
</file>

<file path=xl/activeX/activeX53.xml><?xml version="1.0" encoding="utf-8"?>
<ax:ocx xmlns:ax="http://schemas.microsoft.com/office/2006/activeX" xmlns:r="http://schemas.openxmlformats.org/officeDocument/2006/relationships" ax:classid="{5512D11A-5CC6-11CF-8D67-00AA00BDCE1D}" ax:persistence="persistStream" r:id="rId1"/>
</file>

<file path=xl/activeX/activeX54.xml><?xml version="1.0" encoding="utf-8"?>
<ax:ocx xmlns:ax="http://schemas.microsoft.com/office/2006/activeX" xmlns:r="http://schemas.openxmlformats.org/officeDocument/2006/relationships" ax:classid="{5512D116-5CC6-11CF-8D67-00AA00BDCE1D}" ax:persistence="persistStream" r:id="rId1"/>
</file>

<file path=xl/activeX/activeX55.xml><?xml version="1.0" encoding="utf-8"?>
<ax:ocx xmlns:ax="http://schemas.microsoft.com/office/2006/activeX" xmlns:r="http://schemas.openxmlformats.org/officeDocument/2006/relationships" ax:classid="{5512D116-5CC6-11CF-8D67-00AA00BDCE1D}" ax:persistence="persistStream" r:id="rId1"/>
</file>

<file path=xl/activeX/activeX56.xml><?xml version="1.0" encoding="utf-8"?>
<ax:ocx xmlns:ax="http://schemas.microsoft.com/office/2006/activeX" xmlns:r="http://schemas.openxmlformats.org/officeDocument/2006/relationships" ax:classid="{5512D116-5CC6-11CF-8D67-00AA00BDCE1D}" ax:persistence="persistStream" r:id="rId1"/>
</file>

<file path=xl/activeX/activeX57.xml><?xml version="1.0" encoding="utf-8"?>
<ax:ocx xmlns:ax="http://schemas.microsoft.com/office/2006/activeX" xmlns:r="http://schemas.openxmlformats.org/officeDocument/2006/relationships" ax:classid="{5512D116-5CC6-11CF-8D67-00AA00BDCE1D}" ax:persistence="persistStream" r:id="rId1"/>
</file>

<file path=xl/activeX/activeX58.xml><?xml version="1.0" encoding="utf-8"?>
<ax:ocx xmlns:ax="http://schemas.microsoft.com/office/2006/activeX" xmlns:r="http://schemas.openxmlformats.org/officeDocument/2006/relationships" ax:classid="{5512D116-5CC6-11CF-8D67-00AA00BDCE1D}" ax:persistence="persistStream" r:id="rId1"/>
</file>

<file path=xl/activeX/activeX59.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60.xml><?xml version="1.0" encoding="utf-8"?>
<ax:ocx xmlns:ax="http://schemas.microsoft.com/office/2006/activeX" xmlns:r="http://schemas.openxmlformats.org/officeDocument/2006/relationships" ax:classid="{5512D116-5CC6-11CF-8D67-00AA00BDCE1D}" ax:persistence="persistStream" r:id="rId1"/>
</file>

<file path=xl/activeX/activeX61.xml><?xml version="1.0" encoding="utf-8"?>
<ax:ocx xmlns:ax="http://schemas.microsoft.com/office/2006/activeX" xmlns:r="http://schemas.openxmlformats.org/officeDocument/2006/relationships" ax:classid="{5512D116-5CC6-11CF-8D67-00AA00BDCE1D}" ax:persistence="persistStream" r:id="rId1"/>
</file>

<file path=xl/activeX/activeX62.xml><?xml version="1.0" encoding="utf-8"?>
<ax:ocx xmlns:ax="http://schemas.microsoft.com/office/2006/activeX" xmlns:r="http://schemas.openxmlformats.org/officeDocument/2006/relationships" ax:classid="{5512D116-5CC6-11CF-8D67-00AA00BDCE1D}" ax:persistence="persistStream" r:id="rId1"/>
</file>

<file path=xl/activeX/activeX63.xml><?xml version="1.0" encoding="utf-8"?>
<ax:ocx xmlns:ax="http://schemas.microsoft.com/office/2006/activeX" xmlns:r="http://schemas.openxmlformats.org/officeDocument/2006/relationships" ax:classid="{5512D116-5CC6-11CF-8D67-00AA00BDCE1D}" ax:persistence="persistStream" r:id="rId1"/>
</file>

<file path=xl/activeX/activeX64.xml><?xml version="1.0" encoding="utf-8"?>
<ax:ocx xmlns:ax="http://schemas.microsoft.com/office/2006/activeX" xmlns:r="http://schemas.openxmlformats.org/officeDocument/2006/relationships" ax:classid="{5512D116-5CC6-11CF-8D67-00AA00BDCE1D}" ax:persistence="persistStream" r:id="rId1"/>
</file>

<file path=xl/activeX/activeX65.xml><?xml version="1.0" encoding="utf-8"?>
<ax:ocx xmlns:ax="http://schemas.microsoft.com/office/2006/activeX" xmlns:r="http://schemas.openxmlformats.org/officeDocument/2006/relationships" ax:classid="{5512D116-5CC6-11CF-8D67-00AA00BDCE1D}" ax:persistence="persistStream" r:id="rId1"/>
</file>

<file path=xl/activeX/activeX66.xml><?xml version="1.0" encoding="utf-8"?>
<ax:ocx xmlns:ax="http://schemas.microsoft.com/office/2006/activeX" xmlns:r="http://schemas.openxmlformats.org/officeDocument/2006/relationships" ax:classid="{5512D116-5CC6-11CF-8D67-00AA00BDCE1D}" ax:persistence="persistStream" r:id="rId1"/>
</file>

<file path=xl/activeX/activeX67.xml><?xml version="1.0" encoding="utf-8"?>
<ax:ocx xmlns:ax="http://schemas.microsoft.com/office/2006/activeX" xmlns:r="http://schemas.openxmlformats.org/officeDocument/2006/relationships" ax:classid="{5512D116-5CC6-11CF-8D67-00AA00BDCE1D}" ax:persistence="persistStream" r:id="rId1"/>
</file>

<file path=xl/activeX/activeX68.xml><?xml version="1.0" encoding="utf-8"?>
<ax:ocx xmlns:ax="http://schemas.microsoft.com/office/2006/activeX" xmlns:r="http://schemas.openxmlformats.org/officeDocument/2006/relationships" ax:classid="{5512D116-5CC6-11CF-8D67-00AA00BDCE1D}" ax:persistence="persistStream" r:id="rId1"/>
</file>

<file path=xl/activeX/activeX69.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70.xml><?xml version="1.0" encoding="utf-8"?>
<ax:ocx xmlns:ax="http://schemas.microsoft.com/office/2006/activeX" xmlns:r="http://schemas.openxmlformats.org/officeDocument/2006/relationships" ax:classid="{5512D116-5CC6-11CF-8D67-00AA00BDCE1D}" ax:persistence="persistStream" r:id="rId1"/>
</file>

<file path=xl/activeX/activeX71.xml><?xml version="1.0" encoding="utf-8"?>
<ax:ocx xmlns:ax="http://schemas.microsoft.com/office/2006/activeX" xmlns:r="http://schemas.openxmlformats.org/officeDocument/2006/relationships" ax:classid="{5512D116-5CC6-11CF-8D67-00AA00BDCE1D}" ax:persistence="persistStream" r:id="rId1"/>
</file>

<file path=xl/activeX/activeX72.xml><?xml version="1.0" encoding="utf-8"?>
<ax:ocx xmlns:ax="http://schemas.microsoft.com/office/2006/activeX" xmlns:r="http://schemas.openxmlformats.org/officeDocument/2006/relationships" ax:classid="{5512D116-5CC6-11CF-8D67-00AA00BDCE1D}" ax:persistence="persistStream" r:id="rId1"/>
</file>

<file path=xl/activeX/activeX73.xml><?xml version="1.0" encoding="utf-8"?>
<ax:ocx xmlns:ax="http://schemas.microsoft.com/office/2006/activeX" xmlns:r="http://schemas.openxmlformats.org/officeDocument/2006/relationships" ax:classid="{5512D116-5CC6-11CF-8D67-00AA00BDCE1D}" ax:persistence="persistStream" r:id="rId1"/>
</file>

<file path=xl/activeX/activeX74.xml><?xml version="1.0" encoding="utf-8"?>
<ax:ocx xmlns:ax="http://schemas.microsoft.com/office/2006/activeX" xmlns:r="http://schemas.openxmlformats.org/officeDocument/2006/relationships" ax:classid="{5512D116-5CC6-11CF-8D67-00AA00BDCE1D}" ax:persistence="persistStream" r:id="rId1"/>
</file>

<file path=xl/activeX/activeX75.xml><?xml version="1.0" encoding="utf-8"?>
<ax:ocx xmlns:ax="http://schemas.microsoft.com/office/2006/activeX" xmlns:r="http://schemas.openxmlformats.org/officeDocument/2006/relationships" ax:classid="{5512D116-5CC6-11CF-8D67-00AA00BDCE1D}" ax:persistence="persistStream" r:id="rId1"/>
</file>

<file path=xl/activeX/activeX76.xml><?xml version="1.0" encoding="utf-8"?>
<ax:ocx xmlns:ax="http://schemas.microsoft.com/office/2006/activeX" xmlns:r="http://schemas.openxmlformats.org/officeDocument/2006/relationships" ax:classid="{5512D116-5CC6-11CF-8D67-00AA00BDCE1D}" ax:persistence="persistStream" r:id="rId1"/>
</file>

<file path=xl/activeX/activeX77.xml><?xml version="1.0" encoding="utf-8"?>
<ax:ocx xmlns:ax="http://schemas.microsoft.com/office/2006/activeX" xmlns:r="http://schemas.openxmlformats.org/officeDocument/2006/relationships" ax:classid="{5512D116-5CC6-11CF-8D67-00AA00BDCE1D}" ax:persistence="persistStream" r:id="rId1"/>
</file>

<file path=xl/activeX/activeX78.xml><?xml version="1.0" encoding="utf-8"?>
<ax:ocx xmlns:ax="http://schemas.microsoft.com/office/2006/activeX" xmlns:r="http://schemas.openxmlformats.org/officeDocument/2006/relationships" ax:classid="{5512D122-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9.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10.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208878</xdr:colOff>
          <xdr:row>2</xdr:row>
          <xdr:rowOff>1793</xdr:rowOff>
        </xdr:from>
        <xdr:to>
          <xdr:col>1</xdr:col>
          <xdr:colOff>391758</xdr:colOff>
          <xdr:row>3</xdr:row>
          <xdr:rowOff>20619</xdr:rowOff>
        </xdr:to>
        <xdr:sp macro="" textlink="">
          <xdr:nvSpPr>
            <xdr:cNvPr id="14337" name="Control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xdr:row>
          <xdr:rowOff>1793</xdr:rowOff>
        </xdr:from>
        <xdr:to>
          <xdr:col>2</xdr:col>
          <xdr:colOff>469751</xdr:colOff>
          <xdr:row>3</xdr:row>
          <xdr:rowOff>28239</xdr:rowOff>
        </xdr:to>
        <xdr:sp macro="" textlink="">
          <xdr:nvSpPr>
            <xdr:cNvPr id="14338" name="Control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xdr:row>
          <xdr:rowOff>1793</xdr:rowOff>
        </xdr:from>
        <xdr:to>
          <xdr:col>2</xdr:col>
          <xdr:colOff>469751</xdr:colOff>
          <xdr:row>3</xdr:row>
          <xdr:rowOff>28239</xdr:rowOff>
        </xdr:to>
        <xdr:sp macro="" textlink="">
          <xdr:nvSpPr>
            <xdr:cNvPr id="14339" name="Control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xdr:row>
          <xdr:rowOff>1793</xdr:rowOff>
        </xdr:from>
        <xdr:to>
          <xdr:col>2</xdr:col>
          <xdr:colOff>469751</xdr:colOff>
          <xdr:row>3</xdr:row>
          <xdr:rowOff>28239</xdr:rowOff>
        </xdr:to>
        <xdr:sp macro="" textlink="">
          <xdr:nvSpPr>
            <xdr:cNvPr id="14340" name="Control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xdr:row>
          <xdr:rowOff>1793</xdr:rowOff>
        </xdr:from>
        <xdr:to>
          <xdr:col>2</xdr:col>
          <xdr:colOff>469751</xdr:colOff>
          <xdr:row>3</xdr:row>
          <xdr:rowOff>28239</xdr:rowOff>
        </xdr:to>
        <xdr:sp macro="" textlink="">
          <xdr:nvSpPr>
            <xdr:cNvPr id="14341" name="Control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3</xdr:row>
          <xdr:rowOff>43479</xdr:rowOff>
        </xdr:from>
        <xdr:to>
          <xdr:col>2</xdr:col>
          <xdr:colOff>469751</xdr:colOff>
          <xdr:row>4</xdr:row>
          <xdr:rowOff>69925</xdr:rowOff>
        </xdr:to>
        <xdr:sp macro="" textlink="">
          <xdr:nvSpPr>
            <xdr:cNvPr id="14342" name="Control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4</xdr:row>
          <xdr:rowOff>47065</xdr:rowOff>
        </xdr:from>
        <xdr:to>
          <xdr:col>2</xdr:col>
          <xdr:colOff>469751</xdr:colOff>
          <xdr:row>5</xdr:row>
          <xdr:rowOff>73511</xdr:rowOff>
        </xdr:to>
        <xdr:sp macro="" textlink="">
          <xdr:nvSpPr>
            <xdr:cNvPr id="14343" name="Control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5</xdr:row>
          <xdr:rowOff>81131</xdr:rowOff>
        </xdr:from>
        <xdr:to>
          <xdr:col>2</xdr:col>
          <xdr:colOff>469751</xdr:colOff>
          <xdr:row>6</xdr:row>
          <xdr:rowOff>107576</xdr:rowOff>
        </xdr:to>
        <xdr:sp macro="" textlink="">
          <xdr:nvSpPr>
            <xdr:cNvPr id="14344" name="Control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6</xdr:row>
          <xdr:rowOff>84716</xdr:rowOff>
        </xdr:from>
        <xdr:to>
          <xdr:col>2</xdr:col>
          <xdr:colOff>469751</xdr:colOff>
          <xdr:row>7</xdr:row>
          <xdr:rowOff>111162</xdr:rowOff>
        </xdr:to>
        <xdr:sp macro="" textlink="">
          <xdr:nvSpPr>
            <xdr:cNvPr id="14345" name="Control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7</xdr:row>
          <xdr:rowOff>134022</xdr:rowOff>
        </xdr:from>
        <xdr:to>
          <xdr:col>2</xdr:col>
          <xdr:colOff>469751</xdr:colOff>
          <xdr:row>8</xdr:row>
          <xdr:rowOff>160468</xdr:rowOff>
        </xdr:to>
        <xdr:sp macro="" textlink="">
          <xdr:nvSpPr>
            <xdr:cNvPr id="14346" name="Control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8</xdr:row>
          <xdr:rowOff>137608</xdr:rowOff>
        </xdr:from>
        <xdr:to>
          <xdr:col>2</xdr:col>
          <xdr:colOff>469751</xdr:colOff>
          <xdr:row>9</xdr:row>
          <xdr:rowOff>164054</xdr:rowOff>
        </xdr:to>
        <xdr:sp macro="" textlink="">
          <xdr:nvSpPr>
            <xdr:cNvPr id="14347" name="Control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9</xdr:row>
          <xdr:rowOff>171674</xdr:rowOff>
        </xdr:from>
        <xdr:to>
          <xdr:col>2</xdr:col>
          <xdr:colOff>469751</xdr:colOff>
          <xdr:row>11</xdr:row>
          <xdr:rowOff>18826</xdr:rowOff>
        </xdr:to>
        <xdr:sp macro="" textlink="">
          <xdr:nvSpPr>
            <xdr:cNvPr id="14348" name="Control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10</xdr:row>
          <xdr:rowOff>175260</xdr:rowOff>
        </xdr:from>
        <xdr:to>
          <xdr:col>2</xdr:col>
          <xdr:colOff>469751</xdr:colOff>
          <xdr:row>12</xdr:row>
          <xdr:rowOff>22412</xdr:rowOff>
        </xdr:to>
        <xdr:sp macro="" textlink="">
          <xdr:nvSpPr>
            <xdr:cNvPr id="14349" name="Control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12</xdr:row>
          <xdr:rowOff>7172</xdr:rowOff>
        </xdr:from>
        <xdr:to>
          <xdr:col>2</xdr:col>
          <xdr:colOff>469751</xdr:colOff>
          <xdr:row>13</xdr:row>
          <xdr:rowOff>33618</xdr:rowOff>
        </xdr:to>
        <xdr:sp macro="" textlink="">
          <xdr:nvSpPr>
            <xdr:cNvPr id="14350" name="Control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13</xdr:row>
          <xdr:rowOff>41238</xdr:rowOff>
        </xdr:from>
        <xdr:to>
          <xdr:col>2</xdr:col>
          <xdr:colOff>469751</xdr:colOff>
          <xdr:row>14</xdr:row>
          <xdr:rowOff>67684</xdr:rowOff>
        </xdr:to>
        <xdr:sp macro="" textlink="">
          <xdr:nvSpPr>
            <xdr:cNvPr id="14351" name="Control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18</xdr:row>
          <xdr:rowOff>142987</xdr:rowOff>
        </xdr:from>
        <xdr:to>
          <xdr:col>2</xdr:col>
          <xdr:colOff>469751</xdr:colOff>
          <xdr:row>19</xdr:row>
          <xdr:rowOff>169433</xdr:rowOff>
        </xdr:to>
        <xdr:sp macro="" textlink="">
          <xdr:nvSpPr>
            <xdr:cNvPr id="14352" name="Control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19</xdr:row>
          <xdr:rowOff>161813</xdr:rowOff>
        </xdr:from>
        <xdr:to>
          <xdr:col>2</xdr:col>
          <xdr:colOff>469751</xdr:colOff>
          <xdr:row>21</xdr:row>
          <xdr:rowOff>8965</xdr:rowOff>
        </xdr:to>
        <xdr:sp macro="" textlink="">
          <xdr:nvSpPr>
            <xdr:cNvPr id="14353" name="Control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21</xdr:row>
          <xdr:rowOff>1345</xdr:rowOff>
        </xdr:from>
        <xdr:to>
          <xdr:col>2</xdr:col>
          <xdr:colOff>469751</xdr:colOff>
          <xdr:row>22</xdr:row>
          <xdr:rowOff>27791</xdr:rowOff>
        </xdr:to>
        <xdr:sp macro="" textlink="">
          <xdr:nvSpPr>
            <xdr:cNvPr id="14354" name="Control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22</xdr:row>
          <xdr:rowOff>27791</xdr:rowOff>
        </xdr:from>
        <xdr:to>
          <xdr:col>2</xdr:col>
          <xdr:colOff>469751</xdr:colOff>
          <xdr:row>23</xdr:row>
          <xdr:rowOff>54236</xdr:rowOff>
        </xdr:to>
        <xdr:sp macro="" textlink="">
          <xdr:nvSpPr>
            <xdr:cNvPr id="14355" name="Control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23</xdr:row>
          <xdr:rowOff>54236</xdr:rowOff>
        </xdr:from>
        <xdr:to>
          <xdr:col>2</xdr:col>
          <xdr:colOff>469751</xdr:colOff>
          <xdr:row>24</xdr:row>
          <xdr:rowOff>80682</xdr:rowOff>
        </xdr:to>
        <xdr:sp macro="" textlink="">
          <xdr:nvSpPr>
            <xdr:cNvPr id="14356" name="Control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24</xdr:row>
          <xdr:rowOff>65442</xdr:rowOff>
        </xdr:from>
        <xdr:to>
          <xdr:col>2</xdr:col>
          <xdr:colOff>469751</xdr:colOff>
          <xdr:row>25</xdr:row>
          <xdr:rowOff>91888</xdr:rowOff>
        </xdr:to>
        <xdr:sp macro="" textlink="">
          <xdr:nvSpPr>
            <xdr:cNvPr id="14357" name="Control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25</xdr:row>
          <xdr:rowOff>91888</xdr:rowOff>
        </xdr:from>
        <xdr:to>
          <xdr:col>2</xdr:col>
          <xdr:colOff>469751</xdr:colOff>
          <xdr:row>26</xdr:row>
          <xdr:rowOff>118334</xdr:rowOff>
        </xdr:to>
        <xdr:sp macro="" textlink="">
          <xdr:nvSpPr>
            <xdr:cNvPr id="14358" name="Control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25</xdr:row>
          <xdr:rowOff>91888</xdr:rowOff>
        </xdr:from>
        <xdr:to>
          <xdr:col>2</xdr:col>
          <xdr:colOff>469751</xdr:colOff>
          <xdr:row>26</xdr:row>
          <xdr:rowOff>118334</xdr:rowOff>
        </xdr:to>
        <xdr:sp macro="" textlink="">
          <xdr:nvSpPr>
            <xdr:cNvPr id="14359" name="Control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25</xdr:row>
          <xdr:rowOff>91888</xdr:rowOff>
        </xdr:from>
        <xdr:to>
          <xdr:col>2</xdr:col>
          <xdr:colOff>469751</xdr:colOff>
          <xdr:row>26</xdr:row>
          <xdr:rowOff>118334</xdr:rowOff>
        </xdr:to>
        <xdr:sp macro="" textlink="">
          <xdr:nvSpPr>
            <xdr:cNvPr id="14360" name="Control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271631</xdr:colOff>
          <xdr:row>25</xdr:row>
          <xdr:rowOff>91888</xdr:rowOff>
        </xdr:from>
        <xdr:to>
          <xdr:col>2</xdr:col>
          <xdr:colOff>469751</xdr:colOff>
          <xdr:row>26</xdr:row>
          <xdr:rowOff>118334</xdr:rowOff>
        </xdr:to>
        <xdr:sp macro="" textlink="">
          <xdr:nvSpPr>
            <xdr:cNvPr id="14361" name="Control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446891</xdr:colOff>
          <xdr:row>26</xdr:row>
          <xdr:rowOff>125954</xdr:rowOff>
        </xdr:from>
        <xdr:to>
          <xdr:col>4</xdr:col>
          <xdr:colOff>67684</xdr:colOff>
          <xdr:row>27</xdr:row>
          <xdr:rowOff>144780</xdr:rowOff>
        </xdr:to>
        <xdr:sp macro="" textlink="">
          <xdr:nvSpPr>
            <xdr:cNvPr id="14362" name="Control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563880</xdr:colOff>
          <xdr:row>2</xdr:row>
          <xdr:rowOff>45720</xdr:rowOff>
        </xdr:to>
        <xdr:sp macro="" textlink="">
          <xdr:nvSpPr>
            <xdr:cNvPr id="6145" name="Control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xdr:row>
          <xdr:rowOff>0</xdr:rowOff>
        </xdr:from>
        <xdr:to>
          <xdr:col>2</xdr:col>
          <xdr:colOff>556260</xdr:colOff>
          <xdr:row>2</xdr:row>
          <xdr:rowOff>60960</xdr:rowOff>
        </xdr:to>
        <xdr:sp macro="" textlink="">
          <xdr:nvSpPr>
            <xdr:cNvPr id="6146" name="Control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xdr:row>
          <xdr:rowOff>0</xdr:rowOff>
        </xdr:from>
        <xdr:to>
          <xdr:col>2</xdr:col>
          <xdr:colOff>556260</xdr:colOff>
          <xdr:row>2</xdr:row>
          <xdr:rowOff>60960</xdr:rowOff>
        </xdr:to>
        <xdr:sp macro="" textlink="">
          <xdr:nvSpPr>
            <xdr:cNvPr id="6147" name="Control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xdr:row>
          <xdr:rowOff>0</xdr:rowOff>
        </xdr:from>
        <xdr:to>
          <xdr:col>2</xdr:col>
          <xdr:colOff>556260</xdr:colOff>
          <xdr:row>2</xdr:row>
          <xdr:rowOff>60960</xdr:rowOff>
        </xdr:to>
        <xdr:sp macro="" textlink="">
          <xdr:nvSpPr>
            <xdr:cNvPr id="6148" name="Control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xdr:row>
          <xdr:rowOff>0</xdr:rowOff>
        </xdr:from>
        <xdr:to>
          <xdr:col>2</xdr:col>
          <xdr:colOff>556260</xdr:colOff>
          <xdr:row>2</xdr:row>
          <xdr:rowOff>60960</xdr:rowOff>
        </xdr:to>
        <xdr:sp macro="" textlink="">
          <xdr:nvSpPr>
            <xdr:cNvPr id="6149" name="Control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7620</xdr:rowOff>
        </xdr:from>
        <xdr:to>
          <xdr:col>2</xdr:col>
          <xdr:colOff>556260</xdr:colOff>
          <xdr:row>3</xdr:row>
          <xdr:rowOff>68580</xdr:rowOff>
        </xdr:to>
        <xdr:sp macro="" textlink="">
          <xdr:nvSpPr>
            <xdr:cNvPr id="6150" name="Control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xdr:row>
          <xdr:rowOff>7620</xdr:rowOff>
        </xdr:from>
        <xdr:to>
          <xdr:col>2</xdr:col>
          <xdr:colOff>556260</xdr:colOff>
          <xdr:row>4</xdr:row>
          <xdr:rowOff>68580</xdr:rowOff>
        </xdr:to>
        <xdr:sp macro="" textlink="">
          <xdr:nvSpPr>
            <xdr:cNvPr id="6151" name="Control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4</xdr:row>
          <xdr:rowOff>7620</xdr:rowOff>
        </xdr:from>
        <xdr:to>
          <xdr:col>2</xdr:col>
          <xdr:colOff>556260</xdr:colOff>
          <xdr:row>5</xdr:row>
          <xdr:rowOff>68580</xdr:rowOff>
        </xdr:to>
        <xdr:sp macro="" textlink="">
          <xdr:nvSpPr>
            <xdr:cNvPr id="6152" name="Control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xdr:row>
          <xdr:rowOff>7620</xdr:rowOff>
        </xdr:from>
        <xdr:to>
          <xdr:col>2</xdr:col>
          <xdr:colOff>556260</xdr:colOff>
          <xdr:row>6</xdr:row>
          <xdr:rowOff>68580</xdr:rowOff>
        </xdr:to>
        <xdr:sp macro="" textlink="">
          <xdr:nvSpPr>
            <xdr:cNvPr id="6153" name="Control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6</xdr:row>
          <xdr:rowOff>22860</xdr:rowOff>
        </xdr:from>
        <xdr:to>
          <xdr:col>2</xdr:col>
          <xdr:colOff>556260</xdr:colOff>
          <xdr:row>7</xdr:row>
          <xdr:rowOff>83820</xdr:rowOff>
        </xdr:to>
        <xdr:sp macro="" textlink="">
          <xdr:nvSpPr>
            <xdr:cNvPr id="6154" name="Control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xdr:row>
          <xdr:rowOff>22860</xdr:rowOff>
        </xdr:from>
        <xdr:to>
          <xdr:col>2</xdr:col>
          <xdr:colOff>556260</xdr:colOff>
          <xdr:row>8</xdr:row>
          <xdr:rowOff>83820</xdr:rowOff>
        </xdr:to>
        <xdr:sp macro="" textlink="">
          <xdr:nvSpPr>
            <xdr:cNvPr id="6155" name="Control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xdr:row>
          <xdr:rowOff>22860</xdr:rowOff>
        </xdr:from>
        <xdr:to>
          <xdr:col>2</xdr:col>
          <xdr:colOff>556260</xdr:colOff>
          <xdr:row>9</xdr:row>
          <xdr:rowOff>83820</xdr:rowOff>
        </xdr:to>
        <xdr:sp macro="" textlink="">
          <xdr:nvSpPr>
            <xdr:cNvPr id="6156" name="Control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57" name="Control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58" name="Control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59" name="Control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60" name="Control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61" name="Control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62" name="Control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63" name="Control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64" name="Control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0</xdr:rowOff>
        </xdr:from>
        <xdr:to>
          <xdr:col>2</xdr:col>
          <xdr:colOff>556260</xdr:colOff>
          <xdr:row>10</xdr:row>
          <xdr:rowOff>60960</xdr:rowOff>
        </xdr:to>
        <xdr:sp macro="" textlink="">
          <xdr:nvSpPr>
            <xdr:cNvPr id="6165" name="Control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6166" name="Control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6167" name="Control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6168" name="Control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xdr:row>
          <xdr:rowOff>45720</xdr:rowOff>
        </xdr:from>
        <xdr:to>
          <xdr:col>2</xdr:col>
          <xdr:colOff>556260</xdr:colOff>
          <xdr:row>10</xdr:row>
          <xdr:rowOff>106680</xdr:rowOff>
        </xdr:to>
        <xdr:sp macro="" textlink="">
          <xdr:nvSpPr>
            <xdr:cNvPr id="6169" name="Control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2926080</xdr:colOff>
          <xdr:row>10</xdr:row>
          <xdr:rowOff>60960</xdr:rowOff>
        </xdr:from>
        <xdr:to>
          <xdr:col>8</xdr:col>
          <xdr:colOff>15240</xdr:colOff>
          <xdr:row>11</xdr:row>
          <xdr:rowOff>106680</xdr:rowOff>
        </xdr:to>
        <xdr:sp macro="" textlink="">
          <xdr:nvSpPr>
            <xdr:cNvPr id="6170" name="Control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2</xdr:row>
          <xdr:rowOff>0</xdr:rowOff>
        </xdr:from>
        <xdr:to>
          <xdr:col>1</xdr:col>
          <xdr:colOff>579120</xdr:colOff>
          <xdr:row>3</xdr:row>
          <xdr:rowOff>45720</xdr:rowOff>
        </xdr:to>
        <xdr:sp macro="" textlink="">
          <xdr:nvSpPr>
            <xdr:cNvPr id="13313" name="Control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13314" name="Control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13315" name="Control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13316" name="Control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xdr:row>
          <xdr:rowOff>0</xdr:rowOff>
        </xdr:from>
        <xdr:to>
          <xdr:col>2</xdr:col>
          <xdr:colOff>556260</xdr:colOff>
          <xdr:row>3</xdr:row>
          <xdr:rowOff>60960</xdr:rowOff>
        </xdr:to>
        <xdr:sp macro="" textlink="">
          <xdr:nvSpPr>
            <xdr:cNvPr id="13317" name="Control 5"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xdr:row>
          <xdr:rowOff>7620</xdr:rowOff>
        </xdr:from>
        <xdr:to>
          <xdr:col>2</xdr:col>
          <xdr:colOff>556260</xdr:colOff>
          <xdr:row>6</xdr:row>
          <xdr:rowOff>68580</xdr:rowOff>
        </xdr:to>
        <xdr:sp macro="" textlink="">
          <xdr:nvSpPr>
            <xdr:cNvPr id="13318" name="Control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6</xdr:row>
          <xdr:rowOff>7620</xdr:rowOff>
        </xdr:from>
        <xdr:to>
          <xdr:col>2</xdr:col>
          <xdr:colOff>556260</xdr:colOff>
          <xdr:row>7</xdr:row>
          <xdr:rowOff>68580</xdr:rowOff>
        </xdr:to>
        <xdr:sp macro="" textlink="">
          <xdr:nvSpPr>
            <xdr:cNvPr id="13319" name="Control 7"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xdr:row>
          <xdr:rowOff>7620</xdr:rowOff>
        </xdr:from>
        <xdr:to>
          <xdr:col>2</xdr:col>
          <xdr:colOff>556260</xdr:colOff>
          <xdr:row>8</xdr:row>
          <xdr:rowOff>68580</xdr:rowOff>
        </xdr:to>
        <xdr:sp macro="" textlink="">
          <xdr:nvSpPr>
            <xdr:cNvPr id="13320" name="Control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11</xdr:row>
          <xdr:rowOff>0</xdr:rowOff>
        </xdr:from>
        <xdr:to>
          <xdr:col>2</xdr:col>
          <xdr:colOff>556260</xdr:colOff>
          <xdr:row>12</xdr:row>
          <xdr:rowOff>60960</xdr:rowOff>
        </xdr:to>
        <xdr:sp macro="" textlink="">
          <xdr:nvSpPr>
            <xdr:cNvPr id="13321" name="Control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11</xdr:row>
          <xdr:rowOff>22860</xdr:rowOff>
        </xdr:from>
        <xdr:to>
          <xdr:col>2</xdr:col>
          <xdr:colOff>556260</xdr:colOff>
          <xdr:row>12</xdr:row>
          <xdr:rowOff>83820</xdr:rowOff>
        </xdr:to>
        <xdr:sp macro="" textlink="">
          <xdr:nvSpPr>
            <xdr:cNvPr id="13322" name="Control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23" name="Control 11"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24" name="Control 12"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25" name="Control 13"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26" name="Control 14"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27" name="Control 15"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28" name="Control 16"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29" name="Control 17"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0" name="Control 18"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1" name="Control 19"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2" name="Control 20" hidden="1">
              <a:extLst>
                <a:ext uri="{63B3BB69-23CF-44E3-9099-C40C66FF867C}">
                  <a14:compatExt spid="_x0000_s13332"/>
                </a:ext>
                <a:ext uri="{FF2B5EF4-FFF2-40B4-BE49-F238E27FC236}">
                  <a16:creationId xmlns:a16="http://schemas.microsoft.com/office/drawing/2014/main" id="{00000000-0008-0000-0600-000014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3" name="Control 21"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4" name="Control 22"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5" name="Control 23"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6" name="Control 24" hidden="1">
              <a:extLst>
                <a:ext uri="{63B3BB69-23CF-44E3-9099-C40C66FF867C}">
                  <a14:compatExt spid="_x0000_s13336"/>
                </a:ext>
                <a:ext uri="{FF2B5EF4-FFF2-40B4-BE49-F238E27FC236}">
                  <a16:creationId xmlns:a16="http://schemas.microsoft.com/office/drawing/2014/main" id="{00000000-0008-0000-0600-000018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0</xdr:rowOff>
        </xdr:from>
        <xdr:to>
          <xdr:col>2</xdr:col>
          <xdr:colOff>556260</xdr:colOff>
          <xdr:row>13</xdr:row>
          <xdr:rowOff>60960</xdr:rowOff>
        </xdr:to>
        <xdr:sp macro="" textlink="">
          <xdr:nvSpPr>
            <xdr:cNvPr id="13337" name="Control 25"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2926080</xdr:colOff>
          <xdr:row>12</xdr:row>
          <xdr:rowOff>0</xdr:rowOff>
        </xdr:from>
        <xdr:to>
          <xdr:col>8</xdr:col>
          <xdr:colOff>15240</xdr:colOff>
          <xdr:row>13</xdr:row>
          <xdr:rowOff>45720</xdr:rowOff>
        </xdr:to>
        <xdr:sp macro="" textlink="">
          <xdr:nvSpPr>
            <xdr:cNvPr id="13338" name="Control 26"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7.xml"/><Relationship Id="rId18" Type="http://schemas.openxmlformats.org/officeDocument/2006/relationships/control" Target="../activeX/activeX12.xml"/><Relationship Id="rId26" Type="http://schemas.openxmlformats.org/officeDocument/2006/relationships/control" Target="../activeX/activeX20.xml"/><Relationship Id="rId3" Type="http://schemas.openxmlformats.org/officeDocument/2006/relationships/control" Target="../activeX/activeX1.xml"/><Relationship Id="rId21" Type="http://schemas.openxmlformats.org/officeDocument/2006/relationships/control" Target="../activeX/activeX15.xml"/><Relationship Id="rId7" Type="http://schemas.openxmlformats.org/officeDocument/2006/relationships/control" Target="../activeX/activeX3.xml"/><Relationship Id="rId12" Type="http://schemas.openxmlformats.org/officeDocument/2006/relationships/image" Target="../media/image4.emf"/><Relationship Id="rId17" Type="http://schemas.openxmlformats.org/officeDocument/2006/relationships/control" Target="../activeX/activeX11.xml"/><Relationship Id="rId25" Type="http://schemas.openxmlformats.org/officeDocument/2006/relationships/control" Target="../activeX/activeX19.xml"/><Relationship Id="rId33" Type="http://schemas.openxmlformats.org/officeDocument/2006/relationships/image" Target="../media/image5.emf"/><Relationship Id="rId2" Type="http://schemas.openxmlformats.org/officeDocument/2006/relationships/vmlDrawing" Target="../drawings/vmlDrawing1.vml"/><Relationship Id="rId16" Type="http://schemas.openxmlformats.org/officeDocument/2006/relationships/control" Target="../activeX/activeX10.xml"/><Relationship Id="rId20" Type="http://schemas.openxmlformats.org/officeDocument/2006/relationships/control" Target="../activeX/activeX14.xml"/><Relationship Id="rId29" Type="http://schemas.openxmlformats.org/officeDocument/2006/relationships/control" Target="../activeX/activeX23.xml"/><Relationship Id="rId1" Type="http://schemas.openxmlformats.org/officeDocument/2006/relationships/drawing" Target="../drawings/drawing1.xml"/><Relationship Id="rId6" Type="http://schemas.openxmlformats.org/officeDocument/2006/relationships/image" Target="../media/image2.emf"/><Relationship Id="rId11" Type="http://schemas.openxmlformats.org/officeDocument/2006/relationships/control" Target="../activeX/activeX6.xml"/><Relationship Id="rId24" Type="http://schemas.openxmlformats.org/officeDocument/2006/relationships/control" Target="../activeX/activeX18.xml"/><Relationship Id="rId32" Type="http://schemas.openxmlformats.org/officeDocument/2006/relationships/control" Target="../activeX/activeX26.xml"/><Relationship Id="rId5" Type="http://schemas.openxmlformats.org/officeDocument/2006/relationships/control" Target="../activeX/activeX2.xml"/><Relationship Id="rId15" Type="http://schemas.openxmlformats.org/officeDocument/2006/relationships/control" Target="../activeX/activeX9.xml"/><Relationship Id="rId23" Type="http://schemas.openxmlformats.org/officeDocument/2006/relationships/control" Target="../activeX/activeX17.xml"/><Relationship Id="rId28" Type="http://schemas.openxmlformats.org/officeDocument/2006/relationships/control" Target="../activeX/activeX22.xml"/><Relationship Id="rId10" Type="http://schemas.openxmlformats.org/officeDocument/2006/relationships/image" Target="../media/image3.emf"/><Relationship Id="rId19" Type="http://schemas.openxmlformats.org/officeDocument/2006/relationships/control" Target="../activeX/activeX13.xml"/><Relationship Id="rId31" Type="http://schemas.openxmlformats.org/officeDocument/2006/relationships/control" Target="../activeX/activeX25.xml"/><Relationship Id="rId4" Type="http://schemas.openxmlformats.org/officeDocument/2006/relationships/image" Target="../media/image1.emf"/><Relationship Id="rId9" Type="http://schemas.openxmlformats.org/officeDocument/2006/relationships/control" Target="../activeX/activeX5.xml"/><Relationship Id="rId14" Type="http://schemas.openxmlformats.org/officeDocument/2006/relationships/control" Target="../activeX/activeX8.xml"/><Relationship Id="rId22" Type="http://schemas.openxmlformats.org/officeDocument/2006/relationships/control" Target="../activeX/activeX16.xml"/><Relationship Id="rId27" Type="http://schemas.openxmlformats.org/officeDocument/2006/relationships/control" Target="../activeX/activeX21.xml"/><Relationship Id="rId30" Type="http://schemas.openxmlformats.org/officeDocument/2006/relationships/control" Target="../activeX/activeX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29.xml"/><Relationship Id="rId13" Type="http://schemas.openxmlformats.org/officeDocument/2006/relationships/control" Target="../activeX/activeX34.xml"/><Relationship Id="rId18" Type="http://schemas.openxmlformats.org/officeDocument/2006/relationships/control" Target="../activeX/activeX39.xml"/><Relationship Id="rId26" Type="http://schemas.openxmlformats.org/officeDocument/2006/relationships/control" Target="../activeX/activeX47.xml"/><Relationship Id="rId3" Type="http://schemas.openxmlformats.org/officeDocument/2006/relationships/vmlDrawing" Target="../drawings/vmlDrawing2.vml"/><Relationship Id="rId21" Type="http://schemas.openxmlformats.org/officeDocument/2006/relationships/control" Target="../activeX/activeX42.xml"/><Relationship Id="rId7" Type="http://schemas.openxmlformats.org/officeDocument/2006/relationships/image" Target="../media/image7.emf"/><Relationship Id="rId12" Type="http://schemas.openxmlformats.org/officeDocument/2006/relationships/control" Target="../activeX/activeX33.xml"/><Relationship Id="rId17" Type="http://schemas.openxmlformats.org/officeDocument/2006/relationships/control" Target="../activeX/activeX38.xml"/><Relationship Id="rId25" Type="http://schemas.openxmlformats.org/officeDocument/2006/relationships/control" Target="../activeX/activeX46.xml"/><Relationship Id="rId33" Type="http://schemas.openxmlformats.org/officeDocument/2006/relationships/image" Target="../media/image9.emf"/><Relationship Id="rId2" Type="http://schemas.openxmlformats.org/officeDocument/2006/relationships/drawing" Target="../drawings/drawing2.xml"/><Relationship Id="rId16" Type="http://schemas.openxmlformats.org/officeDocument/2006/relationships/control" Target="../activeX/activeX37.xml"/><Relationship Id="rId20" Type="http://schemas.openxmlformats.org/officeDocument/2006/relationships/control" Target="../activeX/activeX41.xml"/><Relationship Id="rId29" Type="http://schemas.openxmlformats.org/officeDocument/2006/relationships/control" Target="../activeX/activeX49.xml"/><Relationship Id="rId1" Type="http://schemas.openxmlformats.org/officeDocument/2006/relationships/printerSettings" Target="../printerSettings/printerSettings4.bin"/><Relationship Id="rId6" Type="http://schemas.openxmlformats.org/officeDocument/2006/relationships/control" Target="../activeX/activeX28.xml"/><Relationship Id="rId11" Type="http://schemas.openxmlformats.org/officeDocument/2006/relationships/control" Target="../activeX/activeX32.xml"/><Relationship Id="rId24" Type="http://schemas.openxmlformats.org/officeDocument/2006/relationships/control" Target="../activeX/activeX45.xml"/><Relationship Id="rId32" Type="http://schemas.openxmlformats.org/officeDocument/2006/relationships/control" Target="../activeX/activeX52.xml"/><Relationship Id="rId5" Type="http://schemas.openxmlformats.org/officeDocument/2006/relationships/image" Target="../media/image6.emf"/><Relationship Id="rId15" Type="http://schemas.openxmlformats.org/officeDocument/2006/relationships/control" Target="../activeX/activeX36.xml"/><Relationship Id="rId23" Type="http://schemas.openxmlformats.org/officeDocument/2006/relationships/control" Target="../activeX/activeX44.xml"/><Relationship Id="rId28" Type="http://schemas.openxmlformats.org/officeDocument/2006/relationships/image" Target="../media/image8.emf"/><Relationship Id="rId10" Type="http://schemas.openxmlformats.org/officeDocument/2006/relationships/control" Target="../activeX/activeX31.xml"/><Relationship Id="rId19" Type="http://schemas.openxmlformats.org/officeDocument/2006/relationships/control" Target="../activeX/activeX40.xml"/><Relationship Id="rId31" Type="http://schemas.openxmlformats.org/officeDocument/2006/relationships/control" Target="../activeX/activeX51.xml"/><Relationship Id="rId4" Type="http://schemas.openxmlformats.org/officeDocument/2006/relationships/control" Target="../activeX/activeX27.xml"/><Relationship Id="rId9" Type="http://schemas.openxmlformats.org/officeDocument/2006/relationships/control" Target="../activeX/activeX30.xml"/><Relationship Id="rId14" Type="http://schemas.openxmlformats.org/officeDocument/2006/relationships/control" Target="../activeX/activeX35.xml"/><Relationship Id="rId22" Type="http://schemas.openxmlformats.org/officeDocument/2006/relationships/control" Target="../activeX/activeX43.xml"/><Relationship Id="rId27" Type="http://schemas.openxmlformats.org/officeDocument/2006/relationships/control" Target="../activeX/activeX48.xml"/><Relationship Id="rId30" Type="http://schemas.openxmlformats.org/officeDocument/2006/relationships/control" Target="../activeX/activeX5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55.xml"/><Relationship Id="rId13" Type="http://schemas.openxmlformats.org/officeDocument/2006/relationships/control" Target="../activeX/activeX59.xml"/><Relationship Id="rId18" Type="http://schemas.openxmlformats.org/officeDocument/2006/relationships/control" Target="../activeX/activeX64.xml"/><Relationship Id="rId26" Type="http://schemas.openxmlformats.org/officeDocument/2006/relationships/control" Target="../activeX/activeX72.xml"/><Relationship Id="rId3" Type="http://schemas.openxmlformats.org/officeDocument/2006/relationships/vmlDrawing" Target="../drawings/vmlDrawing3.vml"/><Relationship Id="rId21" Type="http://schemas.openxmlformats.org/officeDocument/2006/relationships/control" Target="../activeX/activeX67.xml"/><Relationship Id="rId7" Type="http://schemas.openxmlformats.org/officeDocument/2006/relationships/image" Target="../media/image7.emf"/><Relationship Id="rId12" Type="http://schemas.openxmlformats.org/officeDocument/2006/relationships/control" Target="../activeX/activeX58.xml"/><Relationship Id="rId17" Type="http://schemas.openxmlformats.org/officeDocument/2006/relationships/control" Target="../activeX/activeX63.xml"/><Relationship Id="rId25" Type="http://schemas.openxmlformats.org/officeDocument/2006/relationships/control" Target="../activeX/activeX71.xml"/><Relationship Id="rId33" Type="http://schemas.openxmlformats.org/officeDocument/2006/relationships/image" Target="../media/image6.emf"/><Relationship Id="rId2" Type="http://schemas.openxmlformats.org/officeDocument/2006/relationships/drawing" Target="../drawings/drawing3.xml"/><Relationship Id="rId16" Type="http://schemas.openxmlformats.org/officeDocument/2006/relationships/control" Target="../activeX/activeX62.xml"/><Relationship Id="rId20" Type="http://schemas.openxmlformats.org/officeDocument/2006/relationships/control" Target="../activeX/activeX66.xml"/><Relationship Id="rId29" Type="http://schemas.openxmlformats.org/officeDocument/2006/relationships/control" Target="../activeX/activeX75.xml"/><Relationship Id="rId1" Type="http://schemas.openxmlformats.org/officeDocument/2006/relationships/printerSettings" Target="../printerSettings/printerSettings6.bin"/><Relationship Id="rId6" Type="http://schemas.openxmlformats.org/officeDocument/2006/relationships/control" Target="../activeX/activeX54.xml"/><Relationship Id="rId11" Type="http://schemas.openxmlformats.org/officeDocument/2006/relationships/image" Target="../media/image8.emf"/><Relationship Id="rId24" Type="http://schemas.openxmlformats.org/officeDocument/2006/relationships/control" Target="../activeX/activeX70.xml"/><Relationship Id="rId32" Type="http://schemas.openxmlformats.org/officeDocument/2006/relationships/control" Target="../activeX/activeX78.xml"/><Relationship Id="rId5" Type="http://schemas.openxmlformats.org/officeDocument/2006/relationships/image" Target="../media/image10.emf"/><Relationship Id="rId15" Type="http://schemas.openxmlformats.org/officeDocument/2006/relationships/control" Target="../activeX/activeX61.xml"/><Relationship Id="rId23" Type="http://schemas.openxmlformats.org/officeDocument/2006/relationships/control" Target="../activeX/activeX69.xml"/><Relationship Id="rId28" Type="http://schemas.openxmlformats.org/officeDocument/2006/relationships/control" Target="../activeX/activeX74.xml"/><Relationship Id="rId10" Type="http://schemas.openxmlformats.org/officeDocument/2006/relationships/control" Target="../activeX/activeX57.xml"/><Relationship Id="rId19" Type="http://schemas.openxmlformats.org/officeDocument/2006/relationships/control" Target="../activeX/activeX65.xml"/><Relationship Id="rId31" Type="http://schemas.openxmlformats.org/officeDocument/2006/relationships/control" Target="../activeX/activeX77.xml"/><Relationship Id="rId4" Type="http://schemas.openxmlformats.org/officeDocument/2006/relationships/control" Target="../activeX/activeX53.xml"/><Relationship Id="rId9" Type="http://schemas.openxmlformats.org/officeDocument/2006/relationships/control" Target="../activeX/activeX56.xml"/><Relationship Id="rId14" Type="http://schemas.openxmlformats.org/officeDocument/2006/relationships/control" Target="../activeX/activeX60.xml"/><Relationship Id="rId22" Type="http://schemas.openxmlformats.org/officeDocument/2006/relationships/control" Target="../activeX/activeX68.xml"/><Relationship Id="rId27" Type="http://schemas.openxmlformats.org/officeDocument/2006/relationships/control" Target="../activeX/activeX73.xml"/><Relationship Id="rId30" Type="http://schemas.openxmlformats.org/officeDocument/2006/relationships/control" Target="../activeX/activeX7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BDCD-8013-4440-8968-C0E9F4386C3C}">
  <dimension ref="B2:M27"/>
  <sheetViews>
    <sheetView showGridLines="0" tabSelected="1" zoomScale="70" zoomScaleNormal="70" workbookViewId="0">
      <selection activeCell="K7" sqref="K7"/>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s>
  <sheetData>
    <row r="2" spans="2:13" x14ac:dyDescent="0.3">
      <c r="B2" s="41" t="s">
        <v>8</v>
      </c>
      <c r="C2" s="41"/>
      <c r="D2" s="41"/>
      <c r="E2" s="41"/>
      <c r="F2" s="42"/>
      <c r="G2" s="41"/>
      <c r="H2" s="41"/>
      <c r="I2" s="42"/>
      <c r="J2" s="41"/>
      <c r="K2" s="41"/>
      <c r="L2" s="41"/>
      <c r="M2" s="43"/>
    </row>
    <row r="3" spans="2:13" x14ac:dyDescent="0.3">
      <c r="B3" s="19" t="s">
        <v>10</v>
      </c>
      <c r="C3" s="29" t="s">
        <v>152</v>
      </c>
      <c r="F3"/>
      <c r="I3"/>
      <c r="M3"/>
    </row>
    <row r="4" spans="2:13" x14ac:dyDescent="0.3">
      <c r="B4" s="19" t="s">
        <v>15</v>
      </c>
      <c r="C4" s="29" t="s">
        <v>152</v>
      </c>
      <c r="F4"/>
      <c r="I4"/>
      <c r="M4"/>
    </row>
    <row r="6" spans="2:13" s="1" customFormat="1" ht="30.75" customHeight="1" x14ac:dyDescent="0.3">
      <c r="B6" s="44" t="s">
        <v>14</v>
      </c>
      <c r="C6" s="44"/>
      <c r="E6" s="44" t="s">
        <v>13</v>
      </c>
      <c r="F6" s="45"/>
      <c r="G6" s="44"/>
      <c r="I6" s="26" t="s">
        <v>12</v>
      </c>
      <c r="J6" s="3"/>
      <c r="K6" s="27"/>
      <c r="M6" s="28" t="s">
        <v>11</v>
      </c>
    </row>
    <row r="7" spans="2:13" s="1" customFormat="1" ht="28.8" x14ac:dyDescent="0.3">
      <c r="B7" s="19" t="s">
        <v>0</v>
      </c>
      <c r="C7" s="19" t="s">
        <v>1</v>
      </c>
      <c r="E7" s="19" t="s">
        <v>2</v>
      </c>
      <c r="F7" s="20" t="s">
        <v>3</v>
      </c>
      <c r="G7" s="19" t="s">
        <v>4</v>
      </c>
      <c r="I7" s="21" t="s">
        <v>5</v>
      </c>
      <c r="J7" s="21" t="s">
        <v>9</v>
      </c>
      <c r="K7" s="22" t="s">
        <v>6</v>
      </c>
      <c r="M7" s="24" t="s">
        <v>17</v>
      </c>
    </row>
    <row r="8" spans="2:13" x14ac:dyDescent="0.3">
      <c r="B8" s="6"/>
      <c r="C8" s="7"/>
      <c r="E8" s="6"/>
      <c r="F8" s="12"/>
      <c r="G8" s="7"/>
      <c r="I8" s="15"/>
      <c r="J8" s="7"/>
      <c r="K8" s="9"/>
      <c r="M8" s="32" t="str">
        <f t="shared" ref="M8:M25" si="0">IFERROR(IF(J8&lt;$C$4,I8*$C$4/J8,I8)*F8,"-")</f>
        <v>-</v>
      </c>
    </row>
    <row r="9" spans="2:13" x14ac:dyDescent="0.3">
      <c r="B9" s="8"/>
      <c r="C9" s="9"/>
      <c r="E9" s="8"/>
      <c r="F9" s="13"/>
      <c r="G9" s="9"/>
      <c r="I9" s="16"/>
      <c r="J9" s="9"/>
      <c r="K9" s="9"/>
      <c r="M9" s="32" t="str">
        <f t="shared" si="0"/>
        <v>-</v>
      </c>
    </row>
    <row r="10" spans="2:13" x14ac:dyDescent="0.3">
      <c r="B10" s="8"/>
      <c r="C10" s="9"/>
      <c r="E10" s="8"/>
      <c r="F10" s="13"/>
      <c r="G10" s="9"/>
      <c r="I10" s="16"/>
      <c r="J10" s="9"/>
      <c r="K10" s="9"/>
      <c r="M10" s="32" t="str">
        <f t="shared" si="0"/>
        <v>-</v>
      </c>
    </row>
    <row r="11" spans="2:13" x14ac:dyDescent="0.3">
      <c r="B11" s="8"/>
      <c r="C11" s="9"/>
      <c r="E11" s="8"/>
      <c r="F11" s="13"/>
      <c r="G11" s="9"/>
      <c r="I11" s="16"/>
      <c r="J11" s="9"/>
      <c r="K11" s="9"/>
      <c r="M11" s="32" t="str">
        <f t="shared" si="0"/>
        <v>-</v>
      </c>
    </row>
    <row r="12" spans="2:13" x14ac:dyDescent="0.3">
      <c r="B12" s="8"/>
      <c r="C12" s="9"/>
      <c r="E12" s="8"/>
      <c r="F12" s="13"/>
      <c r="G12" s="9"/>
      <c r="I12" s="16"/>
      <c r="J12" s="9"/>
      <c r="K12" s="9"/>
      <c r="M12" s="32" t="str">
        <f t="shared" si="0"/>
        <v>-</v>
      </c>
    </row>
    <row r="13" spans="2:13" x14ac:dyDescent="0.3">
      <c r="B13" s="8"/>
      <c r="C13" s="9"/>
      <c r="E13" s="8"/>
      <c r="F13" s="13"/>
      <c r="G13" s="9"/>
      <c r="I13" s="16"/>
      <c r="J13" s="9"/>
      <c r="K13" s="9"/>
      <c r="M13" s="32" t="str">
        <f t="shared" si="0"/>
        <v>-</v>
      </c>
    </row>
    <row r="14" spans="2:13" x14ac:dyDescent="0.3">
      <c r="B14" s="8"/>
      <c r="C14" s="9"/>
      <c r="E14" s="8"/>
      <c r="F14" s="13"/>
      <c r="G14" s="9"/>
      <c r="I14" s="16"/>
      <c r="J14" s="9"/>
      <c r="K14" s="9"/>
      <c r="M14" s="32" t="str">
        <f t="shared" si="0"/>
        <v>-</v>
      </c>
    </row>
    <row r="15" spans="2:13" x14ac:dyDescent="0.3">
      <c r="B15" s="8"/>
      <c r="C15" s="9"/>
      <c r="E15" s="8"/>
      <c r="F15" s="13"/>
      <c r="G15" s="9"/>
      <c r="I15" s="16"/>
      <c r="J15" s="9"/>
      <c r="K15" s="9"/>
      <c r="M15" s="32" t="str">
        <f t="shared" si="0"/>
        <v>-</v>
      </c>
    </row>
    <row r="16" spans="2:13" x14ac:dyDescent="0.3">
      <c r="B16" s="8"/>
      <c r="C16" s="9"/>
      <c r="E16" s="8"/>
      <c r="F16" s="13"/>
      <c r="G16" s="9"/>
      <c r="I16" s="16"/>
      <c r="J16" s="9"/>
      <c r="K16" s="9"/>
      <c r="M16" s="32" t="str">
        <f t="shared" si="0"/>
        <v>-</v>
      </c>
    </row>
    <row r="17" spans="2:13" x14ac:dyDescent="0.3">
      <c r="B17" s="8"/>
      <c r="C17" s="9"/>
      <c r="E17" s="8"/>
      <c r="F17" s="13"/>
      <c r="G17" s="9"/>
      <c r="I17" s="16"/>
      <c r="J17" s="9"/>
      <c r="K17" s="9"/>
      <c r="M17" s="32" t="str">
        <f t="shared" si="0"/>
        <v>-</v>
      </c>
    </row>
    <row r="18" spans="2:13" x14ac:dyDescent="0.3">
      <c r="B18" s="8"/>
      <c r="C18" s="9"/>
      <c r="E18" s="8"/>
      <c r="F18" s="13"/>
      <c r="G18" s="9"/>
      <c r="I18" s="16"/>
      <c r="J18" s="9"/>
      <c r="K18" s="9"/>
      <c r="M18" s="32" t="str">
        <f t="shared" si="0"/>
        <v>-</v>
      </c>
    </row>
    <row r="19" spans="2:13" x14ac:dyDescent="0.3">
      <c r="B19" s="8"/>
      <c r="C19" s="9"/>
      <c r="E19" s="8"/>
      <c r="F19" s="13"/>
      <c r="G19" s="9"/>
      <c r="I19" s="16"/>
      <c r="J19" s="9"/>
      <c r="K19" s="9"/>
      <c r="M19" s="32" t="str">
        <f t="shared" si="0"/>
        <v>-</v>
      </c>
    </row>
    <row r="20" spans="2:13" x14ac:dyDescent="0.3">
      <c r="B20" s="8"/>
      <c r="C20" s="9"/>
      <c r="E20" s="8"/>
      <c r="F20" s="13"/>
      <c r="G20" s="9"/>
      <c r="I20" s="16"/>
      <c r="J20" s="9"/>
      <c r="K20" s="9"/>
      <c r="M20" s="32" t="str">
        <f t="shared" si="0"/>
        <v>-</v>
      </c>
    </row>
    <row r="21" spans="2:13" x14ac:dyDescent="0.3">
      <c r="B21" s="8"/>
      <c r="C21" s="9"/>
      <c r="E21" s="8"/>
      <c r="F21" s="13"/>
      <c r="G21" s="9"/>
      <c r="I21" s="16"/>
      <c r="J21" s="9"/>
      <c r="K21" s="9"/>
      <c r="M21" s="32" t="str">
        <f t="shared" si="0"/>
        <v>-</v>
      </c>
    </row>
    <row r="22" spans="2:13" x14ac:dyDescent="0.3">
      <c r="B22" s="8"/>
      <c r="C22" s="9"/>
      <c r="E22" s="8"/>
      <c r="F22" s="13"/>
      <c r="G22" s="9"/>
      <c r="I22" s="16"/>
      <c r="J22" s="9"/>
      <c r="K22" s="9"/>
      <c r="M22" s="32" t="str">
        <f t="shared" si="0"/>
        <v>-</v>
      </c>
    </row>
    <row r="23" spans="2:13" x14ac:dyDescent="0.3">
      <c r="B23" s="8"/>
      <c r="C23" s="9"/>
      <c r="E23" s="8"/>
      <c r="F23" s="13"/>
      <c r="G23" s="9"/>
      <c r="I23" s="16"/>
      <c r="J23" s="9"/>
      <c r="K23" s="9"/>
      <c r="M23" s="32" t="str">
        <f t="shared" si="0"/>
        <v>-</v>
      </c>
    </row>
    <row r="24" spans="2:13" x14ac:dyDescent="0.3">
      <c r="B24" s="8"/>
      <c r="C24" s="9"/>
      <c r="E24" s="8"/>
      <c r="F24" s="13"/>
      <c r="G24" s="9"/>
      <c r="I24" s="16"/>
      <c r="J24" s="9"/>
      <c r="K24" s="9"/>
      <c r="M24" s="32" t="str">
        <f t="shared" si="0"/>
        <v>-</v>
      </c>
    </row>
    <row r="25" spans="2:13" x14ac:dyDescent="0.3">
      <c r="B25" s="10"/>
      <c r="C25" s="11"/>
      <c r="E25" s="10"/>
      <c r="F25" s="14"/>
      <c r="G25" s="11"/>
      <c r="I25" s="17"/>
      <c r="J25" s="11"/>
      <c r="K25" s="11"/>
      <c r="M25" s="32" t="str">
        <f t="shared" si="0"/>
        <v>-</v>
      </c>
    </row>
    <row r="26" spans="2:13" x14ac:dyDescent="0.3">
      <c r="M26" s="4"/>
    </row>
    <row r="27" spans="2:13" s="1" customFormat="1" x14ac:dyDescent="0.3">
      <c r="B27" s="85" t="s">
        <v>7</v>
      </c>
      <c r="C27" s="85"/>
      <c r="D27" s="84"/>
      <c r="E27" s="85"/>
      <c r="F27" s="86"/>
      <c r="G27" s="85"/>
      <c r="H27" s="84"/>
      <c r="I27" s="34"/>
      <c r="J27" s="23"/>
      <c r="K27" s="35"/>
      <c r="L27" s="84"/>
      <c r="M27" s="36">
        <f>SUM(M8:M25)</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45E36-B416-4137-9329-6943421D6A20}">
  <sheetPr codeName="Sheet1"/>
  <dimension ref="B1:G23"/>
  <sheetViews>
    <sheetView showGridLines="0" zoomScale="85" zoomScaleNormal="85" workbookViewId="0">
      <pane xSplit="2" ySplit="2" topLeftCell="C3" activePane="bottomRight" state="frozen"/>
      <selection pane="topRight" activeCell="C1" sqref="C1"/>
      <selection pane="bottomLeft" activeCell="A3" sqref="A3"/>
      <selection pane="bottomRight" activeCell="B12" sqref="B12"/>
    </sheetView>
  </sheetViews>
  <sheetFormatPr defaultRowHeight="14.4" x14ac:dyDescent="0.3"/>
  <cols>
    <col min="1" max="1" width="3.33203125" customWidth="1"/>
    <col min="2" max="2" width="74.6640625" bestFit="1" customWidth="1"/>
    <col min="3" max="3" width="7" customWidth="1"/>
    <col min="4" max="4" width="7.5546875" customWidth="1"/>
    <col min="5" max="5" width="10.5546875" customWidth="1"/>
    <col min="6" max="6" width="10.109375" bestFit="1" customWidth="1"/>
    <col min="7" max="7" width="44.33203125" customWidth="1"/>
  </cols>
  <sheetData>
    <row r="1" spans="2:7" x14ac:dyDescent="0.3">
      <c r="B1" t="s">
        <v>62</v>
      </c>
    </row>
    <row r="2" spans="2:7" ht="28.8" x14ac:dyDescent="0.3">
      <c r="B2" s="41" t="s">
        <v>16</v>
      </c>
      <c r="C2" s="41" t="s">
        <v>4</v>
      </c>
      <c r="D2" s="41" t="s">
        <v>17</v>
      </c>
      <c r="E2" s="37" t="s">
        <v>15</v>
      </c>
      <c r="F2" s="43" t="s">
        <v>64</v>
      </c>
      <c r="G2" s="41" t="s">
        <v>32</v>
      </c>
    </row>
    <row r="3" spans="2:7" x14ac:dyDescent="0.3">
      <c r="B3" s="30" t="s">
        <v>46</v>
      </c>
      <c r="C3" s="31" t="s">
        <v>19</v>
      </c>
      <c r="D3" s="31">
        <v>13.83</v>
      </c>
      <c r="E3" s="31">
        <v>50</v>
      </c>
      <c r="F3" s="38">
        <v>44580</v>
      </c>
      <c r="G3" s="31" t="s">
        <v>47</v>
      </c>
    </row>
    <row r="4" spans="2:7" x14ac:dyDescent="0.3">
      <c r="B4" s="8" t="s">
        <v>48</v>
      </c>
      <c r="C4" s="9" t="s">
        <v>19</v>
      </c>
      <c r="D4" s="9">
        <v>18.399999999999999</v>
      </c>
      <c r="E4" s="9">
        <v>50</v>
      </c>
      <c r="F4" s="39">
        <v>44580</v>
      </c>
      <c r="G4" s="9" t="s">
        <v>49</v>
      </c>
    </row>
    <row r="5" spans="2:7" x14ac:dyDescent="0.3">
      <c r="B5" s="8" t="s">
        <v>21</v>
      </c>
      <c r="C5" s="9" t="s">
        <v>19</v>
      </c>
      <c r="D5" s="9">
        <v>15.85</v>
      </c>
      <c r="E5" s="9">
        <v>50</v>
      </c>
      <c r="F5" s="39">
        <v>44580</v>
      </c>
      <c r="G5" s="9" t="s">
        <v>35</v>
      </c>
    </row>
    <row r="6" spans="2:7" x14ac:dyDescent="0.3">
      <c r="B6" s="8" t="s">
        <v>24</v>
      </c>
      <c r="C6" s="9" t="s">
        <v>19</v>
      </c>
      <c r="D6" s="9">
        <f>D11</f>
        <v>40.340000000000003</v>
      </c>
      <c r="E6" s="9">
        <f t="shared" ref="E6" si="0">E11</f>
        <v>50</v>
      </c>
      <c r="F6" s="39">
        <v>44580</v>
      </c>
      <c r="G6" s="9" t="s">
        <v>38</v>
      </c>
    </row>
    <row r="7" spans="2:7" x14ac:dyDescent="0.3">
      <c r="B7" s="8" t="s">
        <v>27</v>
      </c>
      <c r="C7" s="9" t="s">
        <v>19</v>
      </c>
      <c r="D7" s="9">
        <v>16.5</v>
      </c>
      <c r="E7" s="9">
        <v>50</v>
      </c>
      <c r="F7" s="39">
        <v>44580</v>
      </c>
      <c r="G7" s="9" t="s">
        <v>41</v>
      </c>
    </row>
    <row r="8" spans="2:7" x14ac:dyDescent="0.3">
      <c r="B8" s="8" t="s">
        <v>23</v>
      </c>
      <c r="C8" s="9" t="s">
        <v>19</v>
      </c>
      <c r="D8" s="9">
        <v>36.33</v>
      </c>
      <c r="E8" s="9">
        <v>50</v>
      </c>
      <c r="F8" s="39">
        <v>44580</v>
      </c>
      <c r="G8" s="9" t="s">
        <v>37</v>
      </c>
    </row>
    <row r="9" spans="2:7" x14ac:dyDescent="0.3">
      <c r="B9" s="8" t="s">
        <v>29</v>
      </c>
      <c r="C9" s="9" t="s">
        <v>19</v>
      </c>
      <c r="D9" s="9">
        <v>41.97</v>
      </c>
      <c r="E9" s="9">
        <v>50</v>
      </c>
      <c r="F9" s="39">
        <v>44580</v>
      </c>
      <c r="G9" s="9" t="s">
        <v>43</v>
      </c>
    </row>
    <row r="10" spans="2:7" x14ac:dyDescent="0.3">
      <c r="B10" s="8" t="s">
        <v>30</v>
      </c>
      <c r="C10" s="9" t="s">
        <v>19</v>
      </c>
      <c r="D10" s="9">
        <v>62.41</v>
      </c>
      <c r="E10" s="9">
        <v>50</v>
      </c>
      <c r="F10" s="39">
        <v>44580</v>
      </c>
      <c r="G10" s="9" t="s">
        <v>44</v>
      </c>
    </row>
    <row r="11" spans="2:7" x14ac:dyDescent="0.3">
      <c r="B11" s="8" t="s">
        <v>18</v>
      </c>
      <c r="C11" s="9" t="s">
        <v>19</v>
      </c>
      <c r="D11" s="9">
        <v>40.340000000000003</v>
      </c>
      <c r="E11" s="9">
        <v>50</v>
      </c>
      <c r="F11" s="39">
        <v>44580</v>
      </c>
      <c r="G11" s="9" t="s">
        <v>33</v>
      </c>
    </row>
    <row r="12" spans="2:7" x14ac:dyDescent="0.3">
      <c r="B12" s="8" t="s">
        <v>31</v>
      </c>
      <c r="C12" s="9" t="s">
        <v>19</v>
      </c>
      <c r="D12" s="9">
        <v>41.28</v>
      </c>
      <c r="E12" s="9">
        <v>50</v>
      </c>
      <c r="F12" s="39">
        <v>44580</v>
      </c>
      <c r="G12" s="9" t="s">
        <v>45</v>
      </c>
    </row>
    <row r="13" spans="2:7" x14ac:dyDescent="0.3">
      <c r="B13" s="8" t="s">
        <v>28</v>
      </c>
      <c r="C13" s="9" t="s">
        <v>19</v>
      </c>
      <c r="D13" s="9">
        <v>45.75</v>
      </c>
      <c r="E13" s="9">
        <v>50</v>
      </c>
      <c r="F13" s="39">
        <v>44580</v>
      </c>
      <c r="G13" s="9" t="s">
        <v>42</v>
      </c>
    </row>
    <row r="14" spans="2:7" x14ac:dyDescent="0.3">
      <c r="B14" s="8" t="s">
        <v>26</v>
      </c>
      <c r="C14" s="9" t="s">
        <v>19</v>
      </c>
      <c r="D14" s="9">
        <v>13.39</v>
      </c>
      <c r="E14" s="9">
        <v>50</v>
      </c>
      <c r="F14" s="39">
        <v>44580</v>
      </c>
      <c r="G14" s="9" t="s">
        <v>40</v>
      </c>
    </row>
    <row r="15" spans="2:7" x14ac:dyDescent="0.3">
      <c r="B15" s="8" t="s">
        <v>22</v>
      </c>
      <c r="C15" s="9" t="s">
        <v>19</v>
      </c>
      <c r="D15" s="9">
        <v>13.42</v>
      </c>
      <c r="E15" s="9">
        <v>50</v>
      </c>
      <c r="F15" s="39">
        <v>44580</v>
      </c>
      <c r="G15" s="9" t="s">
        <v>36</v>
      </c>
    </row>
    <row r="16" spans="2:7" x14ac:dyDescent="0.3">
      <c r="B16" s="8" t="s">
        <v>25</v>
      </c>
      <c r="C16" s="9" t="s">
        <v>19</v>
      </c>
      <c r="D16" s="9">
        <v>16.36</v>
      </c>
      <c r="E16" s="9">
        <v>50</v>
      </c>
      <c r="F16" s="39">
        <v>44580</v>
      </c>
      <c r="G16" s="9" t="s">
        <v>39</v>
      </c>
    </row>
    <row r="17" spans="2:7" x14ac:dyDescent="0.3">
      <c r="B17" s="10" t="s">
        <v>20</v>
      </c>
      <c r="C17" s="11" t="s">
        <v>19</v>
      </c>
      <c r="D17" s="11">
        <v>18.48</v>
      </c>
      <c r="E17" s="11">
        <v>50</v>
      </c>
      <c r="F17" s="40">
        <v>44580</v>
      </c>
      <c r="G17" s="11" t="s">
        <v>34</v>
      </c>
    </row>
    <row r="18" spans="2:7" x14ac:dyDescent="0.3">
      <c r="B18" s="8" t="s">
        <v>50</v>
      </c>
      <c r="C18" s="9" t="s">
        <v>19</v>
      </c>
      <c r="D18" s="9">
        <v>19.989999999999998</v>
      </c>
      <c r="E18" s="9">
        <v>50</v>
      </c>
      <c r="F18" s="39">
        <v>44580</v>
      </c>
      <c r="G18" s="9" t="s">
        <v>51</v>
      </c>
    </row>
    <row r="19" spans="2:7" x14ac:dyDescent="0.3">
      <c r="B19" s="8" t="s">
        <v>52</v>
      </c>
      <c r="C19" s="9" t="s">
        <v>19</v>
      </c>
      <c r="D19" s="9">
        <v>3.78</v>
      </c>
      <c r="E19" s="9">
        <v>50</v>
      </c>
      <c r="F19" s="39">
        <v>44580</v>
      </c>
      <c r="G19" s="9" t="s">
        <v>53</v>
      </c>
    </row>
    <row r="20" spans="2:7" x14ac:dyDescent="0.3">
      <c r="B20" s="8" t="s">
        <v>54</v>
      </c>
      <c r="C20" s="9" t="s">
        <v>19</v>
      </c>
      <c r="D20" s="9">
        <v>6.06</v>
      </c>
      <c r="E20" s="9">
        <v>50</v>
      </c>
      <c r="F20" s="39">
        <v>44580</v>
      </c>
      <c r="G20" s="9" t="s">
        <v>55</v>
      </c>
    </row>
    <row r="21" spans="2:7" x14ac:dyDescent="0.3">
      <c r="B21" s="8" t="s">
        <v>56</v>
      </c>
      <c r="C21" s="9" t="s">
        <v>19</v>
      </c>
      <c r="D21" s="9">
        <v>14.47</v>
      </c>
      <c r="E21" s="9">
        <v>50</v>
      </c>
      <c r="F21" s="39">
        <v>44580</v>
      </c>
      <c r="G21" s="9" t="s">
        <v>57</v>
      </c>
    </row>
    <row r="22" spans="2:7" x14ac:dyDescent="0.3">
      <c r="B22" s="8" t="s">
        <v>58</v>
      </c>
      <c r="C22" s="9" t="s">
        <v>19</v>
      </c>
      <c r="D22" s="9">
        <v>3.89</v>
      </c>
      <c r="E22" s="9">
        <v>50</v>
      </c>
      <c r="F22" s="39">
        <v>44580</v>
      </c>
      <c r="G22" s="9" t="s">
        <v>59</v>
      </c>
    </row>
    <row r="23" spans="2:7" x14ac:dyDescent="0.3">
      <c r="B23" s="8" t="s">
        <v>60</v>
      </c>
      <c r="C23" s="9" t="s">
        <v>19</v>
      </c>
      <c r="D23" s="9">
        <v>13.08</v>
      </c>
      <c r="E23" s="9">
        <v>50</v>
      </c>
      <c r="F23" s="39">
        <v>44580</v>
      </c>
      <c r="G23" s="9" t="s">
        <v>61</v>
      </c>
    </row>
  </sheetData>
  <pageMargins left="0.7" right="0.7" top="0.75" bottom="0.75" header="0.3" footer="0.3"/>
  <drawing r:id="rId1"/>
  <legacyDrawing r:id="rId2"/>
  <controls>
    <mc:AlternateContent xmlns:mc="http://schemas.openxmlformats.org/markup-compatibility/2006">
      <mc:Choice Requires="x14">
        <control shapeId="14337" r:id="rId3" name="Control 1">
          <controlPr defaultSize="0" r:id="rId4">
            <anchor moveWithCells="1">
              <from>
                <xdr:col>1</xdr:col>
                <xdr:colOff>205740</xdr:colOff>
                <xdr:row>2</xdr:row>
                <xdr:rowOff>0</xdr:rowOff>
              </from>
              <to>
                <xdr:col>1</xdr:col>
                <xdr:colOff>388620</xdr:colOff>
                <xdr:row>3</xdr:row>
                <xdr:rowOff>22860</xdr:rowOff>
              </to>
            </anchor>
          </controlPr>
        </control>
      </mc:Choice>
      <mc:Fallback>
        <control shapeId="14337" r:id="rId3" name="Control 1"/>
      </mc:Fallback>
    </mc:AlternateContent>
    <mc:AlternateContent xmlns:mc="http://schemas.openxmlformats.org/markup-compatibility/2006">
      <mc:Choice Requires="x14">
        <control shapeId="14338" r:id="rId5" name="Control 2">
          <controlPr defaultSize="0" r:id="rId6">
            <anchor moveWithCells="1">
              <from>
                <xdr:col>2</xdr:col>
                <xdr:colOff>274320</xdr:colOff>
                <xdr:row>2</xdr:row>
                <xdr:rowOff>0</xdr:rowOff>
              </from>
              <to>
                <xdr:col>2</xdr:col>
                <xdr:colOff>472440</xdr:colOff>
                <xdr:row>3</xdr:row>
                <xdr:rowOff>30480</xdr:rowOff>
              </to>
            </anchor>
          </controlPr>
        </control>
      </mc:Choice>
      <mc:Fallback>
        <control shapeId="14338" r:id="rId5" name="Control 2"/>
      </mc:Fallback>
    </mc:AlternateContent>
    <mc:AlternateContent xmlns:mc="http://schemas.openxmlformats.org/markup-compatibility/2006">
      <mc:Choice Requires="x14">
        <control shapeId="14339" r:id="rId7" name="Control 3">
          <controlPr defaultSize="0" r:id="rId6">
            <anchor moveWithCells="1">
              <from>
                <xdr:col>2</xdr:col>
                <xdr:colOff>274320</xdr:colOff>
                <xdr:row>2</xdr:row>
                <xdr:rowOff>0</xdr:rowOff>
              </from>
              <to>
                <xdr:col>2</xdr:col>
                <xdr:colOff>472440</xdr:colOff>
                <xdr:row>3</xdr:row>
                <xdr:rowOff>30480</xdr:rowOff>
              </to>
            </anchor>
          </controlPr>
        </control>
      </mc:Choice>
      <mc:Fallback>
        <control shapeId="14339" r:id="rId7" name="Control 3"/>
      </mc:Fallback>
    </mc:AlternateContent>
    <mc:AlternateContent xmlns:mc="http://schemas.openxmlformats.org/markup-compatibility/2006">
      <mc:Choice Requires="x14">
        <control shapeId="14340" r:id="rId8" name="Control 4">
          <controlPr defaultSize="0" r:id="rId6">
            <anchor moveWithCells="1">
              <from>
                <xdr:col>2</xdr:col>
                <xdr:colOff>274320</xdr:colOff>
                <xdr:row>2</xdr:row>
                <xdr:rowOff>0</xdr:rowOff>
              </from>
              <to>
                <xdr:col>2</xdr:col>
                <xdr:colOff>472440</xdr:colOff>
                <xdr:row>3</xdr:row>
                <xdr:rowOff>30480</xdr:rowOff>
              </to>
            </anchor>
          </controlPr>
        </control>
      </mc:Choice>
      <mc:Fallback>
        <control shapeId="14340" r:id="rId8" name="Control 4"/>
      </mc:Fallback>
    </mc:AlternateContent>
    <mc:AlternateContent xmlns:mc="http://schemas.openxmlformats.org/markup-compatibility/2006">
      <mc:Choice Requires="x14">
        <control shapeId="14341" r:id="rId9" name="Control 5">
          <controlPr defaultSize="0" r:id="rId10">
            <anchor moveWithCells="1">
              <from>
                <xdr:col>2</xdr:col>
                <xdr:colOff>274320</xdr:colOff>
                <xdr:row>2</xdr:row>
                <xdr:rowOff>0</xdr:rowOff>
              </from>
              <to>
                <xdr:col>2</xdr:col>
                <xdr:colOff>472440</xdr:colOff>
                <xdr:row>3</xdr:row>
                <xdr:rowOff>30480</xdr:rowOff>
              </to>
            </anchor>
          </controlPr>
        </control>
      </mc:Choice>
      <mc:Fallback>
        <control shapeId="14341" r:id="rId9" name="Control 5"/>
      </mc:Fallback>
    </mc:AlternateContent>
    <mc:AlternateContent xmlns:mc="http://schemas.openxmlformats.org/markup-compatibility/2006">
      <mc:Choice Requires="x14">
        <control shapeId="14342" r:id="rId11" name="Control 6">
          <controlPr defaultSize="0" r:id="rId12">
            <anchor moveWithCells="1">
              <from>
                <xdr:col>2</xdr:col>
                <xdr:colOff>274320</xdr:colOff>
                <xdr:row>3</xdr:row>
                <xdr:rowOff>45720</xdr:rowOff>
              </from>
              <to>
                <xdr:col>2</xdr:col>
                <xdr:colOff>472440</xdr:colOff>
                <xdr:row>4</xdr:row>
                <xdr:rowOff>68580</xdr:rowOff>
              </to>
            </anchor>
          </controlPr>
        </control>
      </mc:Choice>
      <mc:Fallback>
        <control shapeId="14342" r:id="rId11" name="Control 6"/>
      </mc:Fallback>
    </mc:AlternateContent>
    <mc:AlternateContent xmlns:mc="http://schemas.openxmlformats.org/markup-compatibility/2006">
      <mc:Choice Requires="x14">
        <control shapeId="14343" r:id="rId13" name="Control 7">
          <controlPr defaultSize="0" r:id="rId6">
            <anchor moveWithCells="1">
              <from>
                <xdr:col>2</xdr:col>
                <xdr:colOff>274320</xdr:colOff>
                <xdr:row>4</xdr:row>
                <xdr:rowOff>45720</xdr:rowOff>
              </from>
              <to>
                <xdr:col>2</xdr:col>
                <xdr:colOff>472440</xdr:colOff>
                <xdr:row>5</xdr:row>
                <xdr:rowOff>76200</xdr:rowOff>
              </to>
            </anchor>
          </controlPr>
        </control>
      </mc:Choice>
      <mc:Fallback>
        <control shapeId="14343" r:id="rId13" name="Control 7"/>
      </mc:Fallback>
    </mc:AlternateContent>
    <mc:AlternateContent xmlns:mc="http://schemas.openxmlformats.org/markup-compatibility/2006">
      <mc:Choice Requires="x14">
        <control shapeId="14344" r:id="rId14" name="Control 8">
          <controlPr defaultSize="0" r:id="rId12">
            <anchor moveWithCells="1">
              <from>
                <xdr:col>2</xdr:col>
                <xdr:colOff>274320</xdr:colOff>
                <xdr:row>5</xdr:row>
                <xdr:rowOff>83820</xdr:rowOff>
              </from>
              <to>
                <xdr:col>2</xdr:col>
                <xdr:colOff>472440</xdr:colOff>
                <xdr:row>6</xdr:row>
                <xdr:rowOff>106680</xdr:rowOff>
              </to>
            </anchor>
          </controlPr>
        </control>
      </mc:Choice>
      <mc:Fallback>
        <control shapeId="14344" r:id="rId14" name="Control 8"/>
      </mc:Fallback>
    </mc:AlternateContent>
    <mc:AlternateContent xmlns:mc="http://schemas.openxmlformats.org/markup-compatibility/2006">
      <mc:Choice Requires="x14">
        <control shapeId="14345" r:id="rId15" name="Control 9">
          <controlPr defaultSize="0" r:id="rId6">
            <anchor moveWithCells="1">
              <from>
                <xdr:col>2</xdr:col>
                <xdr:colOff>274320</xdr:colOff>
                <xdr:row>6</xdr:row>
                <xdr:rowOff>83820</xdr:rowOff>
              </from>
              <to>
                <xdr:col>2</xdr:col>
                <xdr:colOff>472440</xdr:colOff>
                <xdr:row>7</xdr:row>
                <xdr:rowOff>114300</xdr:rowOff>
              </to>
            </anchor>
          </controlPr>
        </control>
      </mc:Choice>
      <mc:Fallback>
        <control shapeId="14345" r:id="rId15" name="Control 9"/>
      </mc:Fallback>
    </mc:AlternateContent>
    <mc:AlternateContent xmlns:mc="http://schemas.openxmlformats.org/markup-compatibility/2006">
      <mc:Choice Requires="x14">
        <control shapeId="14346" r:id="rId16" name="Control 10">
          <controlPr defaultSize="0" r:id="rId12">
            <anchor moveWithCells="1">
              <from>
                <xdr:col>2</xdr:col>
                <xdr:colOff>274320</xdr:colOff>
                <xdr:row>7</xdr:row>
                <xdr:rowOff>137160</xdr:rowOff>
              </from>
              <to>
                <xdr:col>2</xdr:col>
                <xdr:colOff>472440</xdr:colOff>
                <xdr:row>8</xdr:row>
                <xdr:rowOff>160020</xdr:rowOff>
              </to>
            </anchor>
          </controlPr>
        </control>
      </mc:Choice>
      <mc:Fallback>
        <control shapeId="14346" r:id="rId16" name="Control 10"/>
      </mc:Fallback>
    </mc:AlternateContent>
    <mc:AlternateContent xmlns:mc="http://schemas.openxmlformats.org/markup-compatibility/2006">
      <mc:Choice Requires="x14">
        <control shapeId="14347" r:id="rId17" name="Control 11">
          <controlPr defaultSize="0" r:id="rId6">
            <anchor moveWithCells="1">
              <from>
                <xdr:col>2</xdr:col>
                <xdr:colOff>274320</xdr:colOff>
                <xdr:row>8</xdr:row>
                <xdr:rowOff>137160</xdr:rowOff>
              </from>
              <to>
                <xdr:col>2</xdr:col>
                <xdr:colOff>472440</xdr:colOff>
                <xdr:row>9</xdr:row>
                <xdr:rowOff>167640</xdr:rowOff>
              </to>
            </anchor>
          </controlPr>
        </control>
      </mc:Choice>
      <mc:Fallback>
        <control shapeId="14347" r:id="rId17" name="Control 11"/>
      </mc:Fallback>
    </mc:AlternateContent>
    <mc:AlternateContent xmlns:mc="http://schemas.openxmlformats.org/markup-compatibility/2006">
      <mc:Choice Requires="x14">
        <control shapeId="14348" r:id="rId18" name="Control 12">
          <controlPr defaultSize="0" r:id="rId12">
            <anchor moveWithCells="1">
              <from>
                <xdr:col>2</xdr:col>
                <xdr:colOff>274320</xdr:colOff>
                <xdr:row>9</xdr:row>
                <xdr:rowOff>175260</xdr:rowOff>
              </from>
              <to>
                <xdr:col>2</xdr:col>
                <xdr:colOff>472440</xdr:colOff>
                <xdr:row>11</xdr:row>
                <xdr:rowOff>15240</xdr:rowOff>
              </to>
            </anchor>
          </controlPr>
        </control>
      </mc:Choice>
      <mc:Fallback>
        <control shapeId="14348" r:id="rId18" name="Control 12"/>
      </mc:Fallback>
    </mc:AlternateContent>
    <mc:AlternateContent xmlns:mc="http://schemas.openxmlformats.org/markup-compatibility/2006">
      <mc:Choice Requires="x14">
        <control shapeId="14349" r:id="rId19" name="Control 13">
          <controlPr defaultSize="0" r:id="rId6">
            <anchor moveWithCells="1">
              <from>
                <xdr:col>2</xdr:col>
                <xdr:colOff>274320</xdr:colOff>
                <xdr:row>10</xdr:row>
                <xdr:rowOff>175260</xdr:rowOff>
              </from>
              <to>
                <xdr:col>2</xdr:col>
                <xdr:colOff>472440</xdr:colOff>
                <xdr:row>12</xdr:row>
                <xdr:rowOff>22860</xdr:rowOff>
              </to>
            </anchor>
          </controlPr>
        </control>
      </mc:Choice>
      <mc:Fallback>
        <control shapeId="14349" r:id="rId19" name="Control 13"/>
      </mc:Fallback>
    </mc:AlternateContent>
    <mc:AlternateContent xmlns:mc="http://schemas.openxmlformats.org/markup-compatibility/2006">
      <mc:Choice Requires="x14">
        <control shapeId="14350" r:id="rId20" name="Control 14">
          <controlPr defaultSize="0" r:id="rId12">
            <anchor moveWithCells="1">
              <from>
                <xdr:col>2</xdr:col>
                <xdr:colOff>274320</xdr:colOff>
                <xdr:row>12</xdr:row>
                <xdr:rowOff>7620</xdr:rowOff>
              </from>
              <to>
                <xdr:col>2</xdr:col>
                <xdr:colOff>472440</xdr:colOff>
                <xdr:row>13</xdr:row>
                <xdr:rowOff>30480</xdr:rowOff>
              </to>
            </anchor>
          </controlPr>
        </control>
      </mc:Choice>
      <mc:Fallback>
        <control shapeId="14350" r:id="rId20" name="Control 14"/>
      </mc:Fallback>
    </mc:AlternateContent>
    <mc:AlternateContent xmlns:mc="http://schemas.openxmlformats.org/markup-compatibility/2006">
      <mc:Choice Requires="x14">
        <control shapeId="14351" r:id="rId21" name="Control 15">
          <controlPr defaultSize="0" r:id="rId6">
            <anchor moveWithCells="1">
              <from>
                <xdr:col>2</xdr:col>
                <xdr:colOff>274320</xdr:colOff>
                <xdr:row>13</xdr:row>
                <xdr:rowOff>38100</xdr:rowOff>
              </from>
              <to>
                <xdr:col>2</xdr:col>
                <xdr:colOff>472440</xdr:colOff>
                <xdr:row>14</xdr:row>
                <xdr:rowOff>68580</xdr:rowOff>
              </to>
            </anchor>
          </controlPr>
        </control>
      </mc:Choice>
      <mc:Fallback>
        <control shapeId="14351" r:id="rId21" name="Control 15"/>
      </mc:Fallback>
    </mc:AlternateContent>
    <mc:AlternateContent xmlns:mc="http://schemas.openxmlformats.org/markup-compatibility/2006">
      <mc:Choice Requires="x14">
        <control shapeId="14352" r:id="rId22" name="Control 16">
          <controlPr defaultSize="0" r:id="rId12">
            <anchor moveWithCells="1">
              <from>
                <xdr:col>2</xdr:col>
                <xdr:colOff>274320</xdr:colOff>
                <xdr:row>18</xdr:row>
                <xdr:rowOff>144780</xdr:rowOff>
              </from>
              <to>
                <xdr:col>2</xdr:col>
                <xdr:colOff>472440</xdr:colOff>
                <xdr:row>19</xdr:row>
                <xdr:rowOff>167640</xdr:rowOff>
              </to>
            </anchor>
          </controlPr>
        </control>
      </mc:Choice>
      <mc:Fallback>
        <control shapeId="14352" r:id="rId22" name="Control 16"/>
      </mc:Fallback>
    </mc:AlternateContent>
    <mc:AlternateContent xmlns:mc="http://schemas.openxmlformats.org/markup-compatibility/2006">
      <mc:Choice Requires="x14">
        <control shapeId="14353" r:id="rId23" name="Control 17">
          <controlPr defaultSize="0" r:id="rId6">
            <anchor moveWithCells="1">
              <from>
                <xdr:col>2</xdr:col>
                <xdr:colOff>274320</xdr:colOff>
                <xdr:row>19</xdr:row>
                <xdr:rowOff>160020</xdr:rowOff>
              </from>
              <to>
                <xdr:col>2</xdr:col>
                <xdr:colOff>472440</xdr:colOff>
                <xdr:row>21</xdr:row>
                <xdr:rowOff>7620</xdr:rowOff>
              </to>
            </anchor>
          </controlPr>
        </control>
      </mc:Choice>
      <mc:Fallback>
        <control shapeId="14353" r:id="rId23" name="Control 17"/>
      </mc:Fallback>
    </mc:AlternateContent>
    <mc:AlternateContent xmlns:mc="http://schemas.openxmlformats.org/markup-compatibility/2006">
      <mc:Choice Requires="x14">
        <control shapeId="14354" r:id="rId24" name="Control 18">
          <controlPr defaultSize="0" r:id="rId6">
            <anchor moveWithCells="1">
              <from>
                <xdr:col>2</xdr:col>
                <xdr:colOff>274320</xdr:colOff>
                <xdr:row>21</xdr:row>
                <xdr:rowOff>0</xdr:rowOff>
              </from>
              <to>
                <xdr:col>2</xdr:col>
                <xdr:colOff>472440</xdr:colOff>
                <xdr:row>22</xdr:row>
                <xdr:rowOff>30480</xdr:rowOff>
              </to>
            </anchor>
          </controlPr>
        </control>
      </mc:Choice>
      <mc:Fallback>
        <control shapeId="14354" r:id="rId24" name="Control 18"/>
      </mc:Fallback>
    </mc:AlternateContent>
    <mc:AlternateContent xmlns:mc="http://schemas.openxmlformats.org/markup-compatibility/2006">
      <mc:Choice Requires="x14">
        <control shapeId="14355" r:id="rId25" name="Control 19">
          <controlPr defaultSize="0" r:id="rId12">
            <anchor moveWithCells="1">
              <from>
                <xdr:col>2</xdr:col>
                <xdr:colOff>274320</xdr:colOff>
                <xdr:row>22</xdr:row>
                <xdr:rowOff>30480</xdr:rowOff>
              </from>
              <to>
                <xdr:col>2</xdr:col>
                <xdr:colOff>472440</xdr:colOff>
                <xdr:row>23</xdr:row>
                <xdr:rowOff>53340</xdr:rowOff>
              </to>
            </anchor>
          </controlPr>
        </control>
      </mc:Choice>
      <mc:Fallback>
        <control shapeId="14355" r:id="rId25" name="Control 19"/>
      </mc:Fallback>
    </mc:AlternateContent>
    <mc:AlternateContent xmlns:mc="http://schemas.openxmlformats.org/markup-compatibility/2006">
      <mc:Choice Requires="x14">
        <control shapeId="14356" r:id="rId26" name="Control 20">
          <controlPr defaultSize="0" r:id="rId6">
            <anchor moveWithCells="1">
              <from>
                <xdr:col>2</xdr:col>
                <xdr:colOff>274320</xdr:colOff>
                <xdr:row>23</xdr:row>
                <xdr:rowOff>53340</xdr:rowOff>
              </from>
              <to>
                <xdr:col>2</xdr:col>
                <xdr:colOff>472440</xdr:colOff>
                <xdr:row>24</xdr:row>
                <xdr:rowOff>83820</xdr:rowOff>
              </to>
            </anchor>
          </controlPr>
        </control>
      </mc:Choice>
      <mc:Fallback>
        <control shapeId="14356" r:id="rId26" name="Control 20"/>
      </mc:Fallback>
    </mc:AlternateContent>
    <mc:AlternateContent xmlns:mc="http://schemas.openxmlformats.org/markup-compatibility/2006">
      <mc:Choice Requires="x14">
        <control shapeId="14357" r:id="rId27" name="Control 21">
          <controlPr defaultSize="0" r:id="rId12">
            <anchor moveWithCells="1">
              <from>
                <xdr:col>2</xdr:col>
                <xdr:colOff>274320</xdr:colOff>
                <xdr:row>24</xdr:row>
                <xdr:rowOff>68580</xdr:rowOff>
              </from>
              <to>
                <xdr:col>2</xdr:col>
                <xdr:colOff>472440</xdr:colOff>
                <xdr:row>25</xdr:row>
                <xdr:rowOff>91440</xdr:rowOff>
              </to>
            </anchor>
          </controlPr>
        </control>
      </mc:Choice>
      <mc:Fallback>
        <control shapeId="14357" r:id="rId27" name="Control 21"/>
      </mc:Fallback>
    </mc:AlternateContent>
    <mc:AlternateContent xmlns:mc="http://schemas.openxmlformats.org/markup-compatibility/2006">
      <mc:Choice Requires="x14">
        <control shapeId="14358" r:id="rId28" name="Control 22">
          <controlPr defaultSize="0" r:id="rId6">
            <anchor moveWithCells="1">
              <from>
                <xdr:col>2</xdr:col>
                <xdr:colOff>274320</xdr:colOff>
                <xdr:row>25</xdr:row>
                <xdr:rowOff>91440</xdr:rowOff>
              </from>
              <to>
                <xdr:col>2</xdr:col>
                <xdr:colOff>472440</xdr:colOff>
                <xdr:row>26</xdr:row>
                <xdr:rowOff>121920</xdr:rowOff>
              </to>
            </anchor>
          </controlPr>
        </control>
      </mc:Choice>
      <mc:Fallback>
        <control shapeId="14358" r:id="rId28" name="Control 22"/>
      </mc:Fallback>
    </mc:AlternateContent>
    <mc:AlternateContent xmlns:mc="http://schemas.openxmlformats.org/markup-compatibility/2006">
      <mc:Choice Requires="x14">
        <control shapeId="14359" r:id="rId29" name="Control 23">
          <controlPr defaultSize="0" r:id="rId6">
            <anchor moveWithCells="1">
              <from>
                <xdr:col>2</xdr:col>
                <xdr:colOff>274320</xdr:colOff>
                <xdr:row>25</xdr:row>
                <xdr:rowOff>91440</xdr:rowOff>
              </from>
              <to>
                <xdr:col>2</xdr:col>
                <xdr:colOff>472440</xdr:colOff>
                <xdr:row>26</xdr:row>
                <xdr:rowOff>121920</xdr:rowOff>
              </to>
            </anchor>
          </controlPr>
        </control>
      </mc:Choice>
      <mc:Fallback>
        <control shapeId="14359" r:id="rId29" name="Control 23"/>
      </mc:Fallback>
    </mc:AlternateContent>
    <mc:AlternateContent xmlns:mc="http://schemas.openxmlformats.org/markup-compatibility/2006">
      <mc:Choice Requires="x14">
        <control shapeId="14360" r:id="rId30" name="Control 24">
          <controlPr defaultSize="0" r:id="rId6">
            <anchor moveWithCells="1">
              <from>
                <xdr:col>2</xdr:col>
                <xdr:colOff>274320</xdr:colOff>
                <xdr:row>25</xdr:row>
                <xdr:rowOff>91440</xdr:rowOff>
              </from>
              <to>
                <xdr:col>2</xdr:col>
                <xdr:colOff>472440</xdr:colOff>
                <xdr:row>26</xdr:row>
                <xdr:rowOff>121920</xdr:rowOff>
              </to>
            </anchor>
          </controlPr>
        </control>
      </mc:Choice>
      <mc:Fallback>
        <control shapeId="14360" r:id="rId30" name="Control 24"/>
      </mc:Fallback>
    </mc:AlternateContent>
    <mc:AlternateContent xmlns:mc="http://schemas.openxmlformats.org/markup-compatibility/2006">
      <mc:Choice Requires="x14">
        <control shapeId="14361" r:id="rId31" name="Control 25">
          <controlPr defaultSize="0" r:id="rId6">
            <anchor moveWithCells="1">
              <from>
                <xdr:col>2</xdr:col>
                <xdr:colOff>274320</xdr:colOff>
                <xdr:row>25</xdr:row>
                <xdr:rowOff>91440</xdr:rowOff>
              </from>
              <to>
                <xdr:col>2</xdr:col>
                <xdr:colOff>472440</xdr:colOff>
                <xdr:row>26</xdr:row>
                <xdr:rowOff>121920</xdr:rowOff>
              </to>
            </anchor>
          </controlPr>
        </control>
      </mc:Choice>
      <mc:Fallback>
        <control shapeId="14361" r:id="rId31" name="Control 25"/>
      </mc:Fallback>
    </mc:AlternateContent>
    <mc:AlternateContent xmlns:mc="http://schemas.openxmlformats.org/markup-compatibility/2006">
      <mc:Choice Requires="x14">
        <control shapeId="14362" r:id="rId32" name="Control 26">
          <controlPr defaultSize="0" r:id="rId33">
            <anchor moveWithCells="1">
              <from>
                <xdr:col>2</xdr:col>
                <xdr:colOff>449580</xdr:colOff>
                <xdr:row>26</xdr:row>
                <xdr:rowOff>129540</xdr:rowOff>
              </from>
              <to>
                <xdr:col>4</xdr:col>
                <xdr:colOff>68580</xdr:colOff>
                <xdr:row>27</xdr:row>
                <xdr:rowOff>144780</xdr:rowOff>
              </to>
            </anchor>
          </controlPr>
        </control>
      </mc:Choice>
      <mc:Fallback>
        <control shapeId="14362" r:id="rId32" name="Control 26"/>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96927-8A0D-4FEB-9A8F-AD15F0782C04}">
  <dimension ref="B2:L24"/>
  <sheetViews>
    <sheetView showGridLines="0" zoomScale="85" zoomScaleNormal="85" workbookViewId="0">
      <selection activeCell="L9" sqref="L9"/>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10.33203125" customWidth="1"/>
    <col min="11" max="11" width="2.33203125" customWidth="1"/>
    <col min="12" max="12" width="9.6640625" style="2" customWidth="1"/>
  </cols>
  <sheetData>
    <row r="2" spans="2:12" x14ac:dyDescent="0.3">
      <c r="B2" s="41" t="s">
        <v>8</v>
      </c>
      <c r="C2" s="41"/>
      <c r="D2" s="41"/>
      <c r="E2" s="41"/>
      <c r="F2" s="42"/>
      <c r="G2" s="41"/>
      <c r="H2" s="41"/>
      <c r="I2" s="42"/>
      <c r="J2" s="41"/>
      <c r="K2" s="41"/>
      <c r="L2" s="43"/>
    </row>
    <row r="3" spans="2:12" x14ac:dyDescent="0.3">
      <c r="B3" s="19" t="s">
        <v>10</v>
      </c>
      <c r="C3" s="29" t="s">
        <v>63</v>
      </c>
      <c r="F3"/>
      <c r="I3"/>
      <c r="L3"/>
    </row>
    <row r="4" spans="2:12" x14ac:dyDescent="0.3">
      <c r="B4" s="19" t="s">
        <v>15</v>
      </c>
      <c r="C4" s="29">
        <v>50</v>
      </c>
      <c r="F4"/>
      <c r="I4"/>
      <c r="L4"/>
    </row>
    <row r="6" spans="2:12" s="1" customFormat="1" ht="30.75" customHeight="1" x14ac:dyDescent="0.3">
      <c r="B6" s="44" t="s">
        <v>14</v>
      </c>
      <c r="C6" s="44"/>
      <c r="E6" s="44" t="s">
        <v>13</v>
      </c>
      <c r="F6" s="45"/>
      <c r="G6" s="44"/>
      <c r="I6" s="26" t="s">
        <v>12</v>
      </c>
      <c r="J6" s="3"/>
      <c r="L6" s="28" t="s">
        <v>11</v>
      </c>
    </row>
    <row r="7" spans="2:12" s="1" customFormat="1" ht="28.8" x14ac:dyDescent="0.3">
      <c r="B7" s="19" t="s">
        <v>0</v>
      </c>
      <c r="C7" s="19" t="s">
        <v>1</v>
      </c>
      <c r="E7" s="19" t="s">
        <v>2</v>
      </c>
      <c r="F7" s="20" t="s">
        <v>3</v>
      </c>
      <c r="G7" s="19" t="s">
        <v>4</v>
      </c>
      <c r="I7" s="21" t="s">
        <v>5</v>
      </c>
      <c r="J7" s="21" t="s">
        <v>9</v>
      </c>
      <c r="L7" s="24" t="s">
        <v>17</v>
      </c>
    </row>
    <row r="8" spans="2:12" x14ac:dyDescent="0.3">
      <c r="B8" s="8" t="s">
        <v>153</v>
      </c>
      <c r="C8" s="9" t="s">
        <v>154</v>
      </c>
      <c r="E8" s="8" t="s">
        <v>24</v>
      </c>
      <c r="F8" s="12">
        <f>1000*4</f>
        <v>4000</v>
      </c>
      <c r="G8" s="7" t="s">
        <v>19</v>
      </c>
      <c r="I8" s="16">
        <v>40.340000000000003</v>
      </c>
      <c r="J8" s="9">
        <v>50</v>
      </c>
      <c r="L8" s="18">
        <f>IFERROR(IF(J8&lt;$C$4,I8*$C$4/J8,I8)*F8,"-")</f>
        <v>161360</v>
      </c>
    </row>
    <row r="9" spans="2:12" x14ac:dyDescent="0.3">
      <c r="B9" s="8" t="s">
        <v>153</v>
      </c>
      <c r="C9" s="9" t="s">
        <v>155</v>
      </c>
      <c r="E9" s="8" t="s">
        <v>27</v>
      </c>
      <c r="F9" s="13">
        <f>F8</f>
        <v>4000</v>
      </c>
      <c r="G9" s="9" t="s">
        <v>19</v>
      </c>
      <c r="I9" s="16">
        <v>16.5</v>
      </c>
      <c r="J9" s="9">
        <v>50</v>
      </c>
      <c r="L9" s="18">
        <f>IFERROR(IF(J9&lt;$C$4,I9*$C$4/J9,I9)*F9,"-")</f>
        <v>66000</v>
      </c>
    </row>
    <row r="10" spans="2:12" x14ac:dyDescent="0.3">
      <c r="B10" s="8"/>
      <c r="C10" s="9"/>
      <c r="E10" s="8"/>
      <c r="F10" s="13"/>
      <c r="G10" s="9"/>
      <c r="I10" s="87" t="s">
        <v>156</v>
      </c>
      <c r="J10" s="88" t="s">
        <v>156</v>
      </c>
      <c r="L10" s="33" t="str">
        <f t="shared" ref="L10:L22" si="0">IFERROR(IF(J10&lt;$C$4,I10*$C$4/J10,I10)*F10,"-")</f>
        <v>-</v>
      </c>
    </row>
    <row r="11" spans="2:12" x14ac:dyDescent="0.3">
      <c r="B11" s="8"/>
      <c r="C11" s="9"/>
      <c r="E11" s="8"/>
      <c r="F11" s="13"/>
      <c r="G11" s="9"/>
      <c r="I11" s="87" t="s">
        <v>156</v>
      </c>
      <c r="J11" s="88" t="s">
        <v>156</v>
      </c>
      <c r="L11" s="33" t="str">
        <f t="shared" si="0"/>
        <v>-</v>
      </c>
    </row>
    <row r="12" spans="2:12" x14ac:dyDescent="0.3">
      <c r="B12" s="8"/>
      <c r="C12" s="9"/>
      <c r="E12" s="8"/>
      <c r="F12" s="13"/>
      <c r="G12" s="9"/>
      <c r="I12" s="87" t="s">
        <v>156</v>
      </c>
      <c r="J12" s="88" t="s">
        <v>156</v>
      </c>
      <c r="L12" s="33" t="str">
        <f t="shared" si="0"/>
        <v>-</v>
      </c>
    </row>
    <row r="13" spans="2:12" x14ac:dyDescent="0.3">
      <c r="B13" s="8"/>
      <c r="C13" s="9"/>
      <c r="E13" s="8"/>
      <c r="F13" s="13"/>
      <c r="G13" s="9"/>
      <c r="I13" s="87" t="s">
        <v>156</v>
      </c>
      <c r="J13" s="88" t="s">
        <v>156</v>
      </c>
      <c r="L13" s="33" t="str">
        <f t="shared" si="0"/>
        <v>-</v>
      </c>
    </row>
    <row r="14" spans="2:12" x14ac:dyDescent="0.3">
      <c r="B14" s="8"/>
      <c r="C14" s="9"/>
      <c r="E14" s="8"/>
      <c r="F14" s="13"/>
      <c r="G14" s="9"/>
      <c r="I14" s="87" t="s">
        <v>156</v>
      </c>
      <c r="J14" s="88" t="s">
        <v>156</v>
      </c>
      <c r="L14" s="33" t="str">
        <f t="shared" si="0"/>
        <v>-</v>
      </c>
    </row>
    <row r="15" spans="2:12" x14ac:dyDescent="0.3">
      <c r="B15" s="8"/>
      <c r="C15" s="9"/>
      <c r="E15" s="8"/>
      <c r="F15" s="13"/>
      <c r="G15" s="9"/>
      <c r="I15" s="87" t="s">
        <v>156</v>
      </c>
      <c r="J15" s="88" t="s">
        <v>156</v>
      </c>
      <c r="L15" s="33" t="str">
        <f t="shared" si="0"/>
        <v>-</v>
      </c>
    </row>
    <row r="16" spans="2:12" x14ac:dyDescent="0.3">
      <c r="B16" s="8"/>
      <c r="C16" s="9"/>
      <c r="E16" s="8"/>
      <c r="F16" s="13"/>
      <c r="G16" s="9"/>
      <c r="I16" s="87" t="s">
        <v>156</v>
      </c>
      <c r="J16" s="88" t="s">
        <v>156</v>
      </c>
      <c r="L16" s="33" t="str">
        <f t="shared" si="0"/>
        <v>-</v>
      </c>
    </row>
    <row r="17" spans="2:12" x14ac:dyDescent="0.3">
      <c r="B17" s="8"/>
      <c r="C17" s="9"/>
      <c r="E17" s="8"/>
      <c r="F17" s="13"/>
      <c r="G17" s="9"/>
      <c r="I17" s="87" t="s">
        <v>156</v>
      </c>
      <c r="J17" s="88" t="s">
        <v>156</v>
      </c>
      <c r="L17" s="33" t="str">
        <f t="shared" si="0"/>
        <v>-</v>
      </c>
    </row>
    <row r="18" spans="2:12" x14ac:dyDescent="0.3">
      <c r="B18" s="8"/>
      <c r="C18" s="9"/>
      <c r="E18" s="8"/>
      <c r="F18" s="13"/>
      <c r="G18" s="9"/>
      <c r="I18" s="87" t="s">
        <v>156</v>
      </c>
      <c r="J18" s="88" t="s">
        <v>156</v>
      </c>
      <c r="L18" s="33" t="str">
        <f t="shared" si="0"/>
        <v>-</v>
      </c>
    </row>
    <row r="19" spans="2:12" x14ac:dyDescent="0.3">
      <c r="B19" s="8"/>
      <c r="C19" s="9"/>
      <c r="E19" s="8"/>
      <c r="F19" s="13"/>
      <c r="G19" s="9"/>
      <c r="I19" s="87" t="s">
        <v>156</v>
      </c>
      <c r="J19" s="88" t="s">
        <v>156</v>
      </c>
      <c r="L19" s="33" t="str">
        <f t="shared" si="0"/>
        <v>-</v>
      </c>
    </row>
    <row r="20" spans="2:12" x14ac:dyDescent="0.3">
      <c r="B20" s="8"/>
      <c r="C20" s="9"/>
      <c r="E20" s="8"/>
      <c r="F20" s="13"/>
      <c r="G20" s="9"/>
      <c r="I20" s="87" t="s">
        <v>156</v>
      </c>
      <c r="J20" s="88" t="s">
        <v>156</v>
      </c>
      <c r="L20" s="33" t="str">
        <f t="shared" si="0"/>
        <v>-</v>
      </c>
    </row>
    <row r="21" spans="2:12" x14ac:dyDescent="0.3">
      <c r="B21" s="8"/>
      <c r="C21" s="9"/>
      <c r="E21" s="8"/>
      <c r="F21" s="13"/>
      <c r="G21" s="9"/>
      <c r="I21" s="87" t="s">
        <v>156</v>
      </c>
      <c r="J21" s="88" t="s">
        <v>156</v>
      </c>
      <c r="L21" s="33" t="str">
        <f t="shared" si="0"/>
        <v>-</v>
      </c>
    </row>
    <row r="22" spans="2:12" x14ac:dyDescent="0.3">
      <c r="B22" s="10"/>
      <c r="C22" s="11"/>
      <c r="E22" s="10"/>
      <c r="F22" s="14"/>
      <c r="G22" s="11"/>
      <c r="I22" s="87" t="s">
        <v>156</v>
      </c>
      <c r="J22" s="88" t="s">
        <v>156</v>
      </c>
      <c r="L22" s="33" t="str">
        <f t="shared" si="0"/>
        <v>-</v>
      </c>
    </row>
    <row r="23" spans="2:12" x14ac:dyDescent="0.3">
      <c r="L23" s="4"/>
    </row>
    <row r="24" spans="2:12" s="1" customFormat="1" x14ac:dyDescent="0.3">
      <c r="B24" s="19" t="s">
        <v>7</v>
      </c>
      <c r="C24" s="19"/>
      <c r="E24" s="19"/>
      <c r="F24" s="20"/>
      <c r="G24" s="19"/>
      <c r="I24" s="21"/>
      <c r="J24" s="23"/>
      <c r="L24" s="25">
        <f>SUM(L8:L22)</f>
        <v>227360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91BC-B4C6-4218-B37E-B79CB4BB9291}">
  <dimension ref="B2:T33"/>
  <sheetViews>
    <sheetView showGridLines="0" zoomScaleNormal="100" workbookViewId="0">
      <selection activeCell="M8" sqref="M8"/>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s>
  <sheetData>
    <row r="2" spans="2:20" x14ac:dyDescent="0.3">
      <c r="B2" s="41" t="s">
        <v>65</v>
      </c>
      <c r="C2" s="41"/>
      <c r="D2" s="41"/>
      <c r="E2" s="41"/>
      <c r="F2" s="42"/>
      <c r="G2" s="41"/>
      <c r="H2" s="41"/>
      <c r="I2" s="42"/>
      <c r="J2" s="41"/>
      <c r="K2" s="41"/>
      <c r="L2" s="41"/>
      <c r="M2" s="43"/>
      <c r="N2" s="43"/>
      <c r="O2" s="43"/>
      <c r="P2" s="43"/>
      <c r="Q2" s="43"/>
      <c r="R2" s="43"/>
      <c r="S2" s="43"/>
      <c r="T2" s="43"/>
    </row>
    <row r="3" spans="2:20" x14ac:dyDescent="0.3">
      <c r="B3" s="19" t="s">
        <v>10</v>
      </c>
      <c r="C3" s="29" t="s">
        <v>66</v>
      </c>
      <c r="F3"/>
      <c r="I3"/>
      <c r="M3"/>
      <c r="N3"/>
      <c r="O3"/>
      <c r="P3"/>
      <c r="Q3"/>
      <c r="R3"/>
      <c r="S3"/>
      <c r="T3"/>
    </row>
    <row r="4" spans="2:20" x14ac:dyDescent="0.3">
      <c r="B4" s="19" t="s">
        <v>15</v>
      </c>
      <c r="C4" s="29">
        <v>100</v>
      </c>
      <c r="F4"/>
      <c r="I4"/>
      <c r="M4"/>
      <c r="N4"/>
      <c r="O4"/>
      <c r="P4"/>
      <c r="Q4"/>
      <c r="R4"/>
      <c r="S4"/>
      <c r="T4"/>
    </row>
    <row r="6" spans="2:20" s="1" customFormat="1" ht="30.75" customHeight="1" x14ac:dyDescent="0.3">
      <c r="B6" s="44" t="s">
        <v>14</v>
      </c>
      <c r="C6" s="44"/>
      <c r="E6" s="44" t="s">
        <v>13</v>
      </c>
      <c r="F6" s="45"/>
      <c r="G6" s="44"/>
      <c r="I6" s="26" t="s">
        <v>12</v>
      </c>
      <c r="J6" s="3"/>
      <c r="K6" s="27"/>
      <c r="M6" s="46" t="s">
        <v>11</v>
      </c>
      <c r="N6" s="28"/>
      <c r="O6" s="47"/>
      <c r="P6" s="48" t="s">
        <v>67</v>
      </c>
      <c r="Q6" s="28"/>
      <c r="R6" s="28"/>
      <c r="S6" s="28"/>
      <c r="T6" s="28"/>
    </row>
    <row r="7" spans="2:20" s="1" customFormat="1" ht="43.2" x14ac:dyDescent="0.3">
      <c r="B7" s="19" t="s">
        <v>0</v>
      </c>
      <c r="C7" s="19" t="s">
        <v>1</v>
      </c>
      <c r="E7" s="19" t="s">
        <v>2</v>
      </c>
      <c r="F7" s="20" t="s">
        <v>3</v>
      </c>
      <c r="G7" s="19" t="s">
        <v>4</v>
      </c>
      <c r="I7" s="21" t="s">
        <v>5</v>
      </c>
      <c r="J7" s="21" t="s">
        <v>9</v>
      </c>
      <c r="K7" s="22" t="s">
        <v>6</v>
      </c>
      <c r="M7" s="24" t="s">
        <v>17</v>
      </c>
      <c r="N7" s="24" t="s">
        <v>68</v>
      </c>
      <c r="O7" s="49"/>
      <c r="P7" s="24" t="s">
        <v>69</v>
      </c>
      <c r="Q7" s="24" t="s">
        <v>70</v>
      </c>
      <c r="R7" s="24" t="s">
        <v>71</v>
      </c>
      <c r="S7" s="24" t="s">
        <v>72</v>
      </c>
      <c r="T7" s="24" t="s">
        <v>73</v>
      </c>
    </row>
    <row r="8" spans="2:20" x14ac:dyDescent="0.3">
      <c r="B8" s="6"/>
      <c r="C8" s="7"/>
      <c r="E8" s="30"/>
      <c r="F8" s="50"/>
      <c r="G8" s="7"/>
      <c r="I8" s="15"/>
      <c r="J8" s="7"/>
      <c r="K8" s="9"/>
      <c r="M8" s="51" t="str">
        <f>IFERROR(IF(J8&lt;$C$4,I8*$C$4/J8,I8)*F8,"-")</f>
        <v>-</v>
      </c>
      <c r="N8" s="52"/>
      <c r="O8" s="4"/>
      <c r="P8" s="53"/>
      <c r="Q8" s="50"/>
      <c r="R8" s="50"/>
      <c r="S8" s="50"/>
      <c r="T8" s="54"/>
    </row>
    <row r="9" spans="2:20" x14ac:dyDescent="0.3">
      <c r="B9" s="8"/>
      <c r="C9" s="9"/>
      <c r="E9" s="8"/>
      <c r="F9" s="13"/>
      <c r="G9" s="9"/>
      <c r="I9" s="16"/>
      <c r="J9" s="9"/>
      <c r="K9" s="9"/>
      <c r="M9" s="51" t="str">
        <f t="shared" ref="M9:M25" si="0">IFERROR(IF(J9&lt;$C$4,I9*$C$4/J9,I9)*F9,"-")</f>
        <v>-</v>
      </c>
      <c r="N9" s="55"/>
      <c r="O9" s="4"/>
      <c r="P9" s="18"/>
      <c r="Q9" s="56"/>
      <c r="R9" s="56"/>
      <c r="S9" s="56"/>
      <c r="T9" s="57"/>
    </row>
    <row r="10" spans="2:20" x14ac:dyDescent="0.3">
      <c r="B10" s="8"/>
      <c r="C10" s="9"/>
      <c r="E10" s="8"/>
      <c r="F10" s="13"/>
      <c r="G10" s="9"/>
      <c r="I10" s="16"/>
      <c r="J10" s="9"/>
      <c r="K10" s="9"/>
      <c r="M10" s="51" t="str">
        <f t="shared" si="0"/>
        <v>-</v>
      </c>
      <c r="N10" s="55"/>
      <c r="O10" s="4"/>
      <c r="P10" s="18"/>
      <c r="Q10" s="56"/>
      <c r="R10" s="56"/>
      <c r="S10" s="56"/>
      <c r="T10" s="57"/>
    </row>
    <row r="11" spans="2:20" x14ac:dyDescent="0.3">
      <c r="B11" s="8"/>
      <c r="C11" s="9"/>
      <c r="E11" s="8"/>
      <c r="F11" s="13"/>
      <c r="G11" s="9"/>
      <c r="I11" s="16"/>
      <c r="J11" s="9"/>
      <c r="K11" s="9"/>
      <c r="M11" s="51" t="str">
        <f t="shared" si="0"/>
        <v>-</v>
      </c>
      <c r="N11" s="55"/>
      <c r="O11" s="4"/>
      <c r="P11" s="18"/>
      <c r="Q11" s="56"/>
      <c r="R11" s="56"/>
      <c r="S11" s="56"/>
      <c r="T11" s="57"/>
    </row>
    <row r="12" spans="2:20" x14ac:dyDescent="0.3">
      <c r="B12" s="8"/>
      <c r="C12" s="9"/>
      <c r="E12" s="8"/>
      <c r="F12" s="13"/>
      <c r="G12" s="9"/>
      <c r="I12" s="16"/>
      <c r="J12" s="9"/>
      <c r="K12" s="9"/>
      <c r="M12" s="51" t="str">
        <f t="shared" si="0"/>
        <v>-</v>
      </c>
      <c r="N12" s="55"/>
      <c r="O12" s="4"/>
      <c r="P12" s="18"/>
      <c r="Q12" s="56"/>
      <c r="R12" s="56"/>
      <c r="S12" s="56"/>
      <c r="T12" s="57"/>
    </row>
    <row r="13" spans="2:20" x14ac:dyDescent="0.3">
      <c r="B13" s="8"/>
      <c r="C13" s="9"/>
      <c r="E13" s="8"/>
      <c r="F13" s="13"/>
      <c r="G13" s="9"/>
      <c r="I13" s="16"/>
      <c r="J13" s="9"/>
      <c r="K13" s="9"/>
      <c r="M13" s="51" t="str">
        <f t="shared" si="0"/>
        <v>-</v>
      </c>
      <c r="N13" s="55"/>
      <c r="O13" s="4"/>
      <c r="P13" s="18"/>
      <c r="Q13" s="56"/>
      <c r="R13" s="56"/>
      <c r="S13" s="56"/>
      <c r="T13" s="57"/>
    </row>
    <row r="14" spans="2:20" x14ac:dyDescent="0.3">
      <c r="B14" s="8"/>
      <c r="C14" s="9"/>
      <c r="E14" s="8"/>
      <c r="F14" s="13"/>
      <c r="G14" s="9"/>
      <c r="I14" s="16"/>
      <c r="J14" s="9"/>
      <c r="K14" s="9"/>
      <c r="M14" s="51" t="str">
        <f t="shared" si="0"/>
        <v>-</v>
      </c>
      <c r="N14" s="55"/>
      <c r="O14" s="4"/>
      <c r="P14" s="18"/>
      <c r="Q14" s="56"/>
      <c r="R14" s="56"/>
      <c r="S14" s="56"/>
      <c r="T14" s="57"/>
    </row>
    <row r="15" spans="2:20" x14ac:dyDescent="0.3">
      <c r="B15" s="8"/>
      <c r="C15" s="9"/>
      <c r="E15" s="8"/>
      <c r="F15" s="13"/>
      <c r="G15" s="9"/>
      <c r="I15" s="16"/>
      <c r="J15" s="9"/>
      <c r="K15" s="9"/>
      <c r="M15" s="51" t="str">
        <f t="shared" si="0"/>
        <v>-</v>
      </c>
      <c r="N15" s="55"/>
      <c r="O15" s="4"/>
      <c r="P15" s="18"/>
      <c r="Q15" s="56"/>
      <c r="R15" s="56"/>
      <c r="S15" s="56"/>
      <c r="T15" s="57"/>
    </row>
    <row r="16" spans="2:20" x14ac:dyDescent="0.3">
      <c r="B16" s="8"/>
      <c r="C16" s="9"/>
      <c r="E16" s="8"/>
      <c r="F16" s="13"/>
      <c r="G16" s="9"/>
      <c r="I16" s="16"/>
      <c r="J16" s="9"/>
      <c r="K16" s="9"/>
      <c r="M16" s="51" t="str">
        <f t="shared" si="0"/>
        <v>-</v>
      </c>
      <c r="N16" s="55"/>
      <c r="O16" s="4"/>
      <c r="P16" s="18"/>
      <c r="Q16" s="56"/>
      <c r="R16" s="56"/>
      <c r="S16" s="56"/>
      <c r="T16" s="57"/>
    </row>
    <row r="17" spans="2:20" x14ac:dyDescent="0.3">
      <c r="B17" s="8"/>
      <c r="C17" s="9"/>
      <c r="E17" s="8"/>
      <c r="F17" s="13"/>
      <c r="G17" s="9"/>
      <c r="I17" s="16"/>
      <c r="J17" s="9"/>
      <c r="K17" s="9"/>
      <c r="M17" s="51" t="str">
        <f t="shared" si="0"/>
        <v>-</v>
      </c>
      <c r="N17" s="55"/>
      <c r="O17" s="4"/>
      <c r="P17" s="18"/>
      <c r="Q17" s="56"/>
      <c r="R17" s="56"/>
      <c r="S17" s="56"/>
      <c r="T17" s="57"/>
    </row>
    <row r="18" spans="2:20" x14ac:dyDescent="0.3">
      <c r="B18" s="8"/>
      <c r="C18" s="9"/>
      <c r="E18" s="8"/>
      <c r="F18" s="13"/>
      <c r="G18" s="9"/>
      <c r="I18" s="16"/>
      <c r="J18" s="9"/>
      <c r="K18" s="9"/>
      <c r="M18" s="51" t="str">
        <f t="shared" si="0"/>
        <v>-</v>
      </c>
      <c r="N18" s="55"/>
      <c r="O18" s="4"/>
      <c r="P18" s="18"/>
      <c r="Q18" s="56"/>
      <c r="R18" s="56"/>
      <c r="S18" s="56"/>
      <c r="T18" s="57"/>
    </row>
    <row r="19" spans="2:20" x14ac:dyDescent="0.3">
      <c r="B19" s="8"/>
      <c r="C19" s="9"/>
      <c r="E19" s="8"/>
      <c r="F19" s="13"/>
      <c r="G19" s="9"/>
      <c r="I19" s="16"/>
      <c r="J19" s="9"/>
      <c r="K19" s="9"/>
      <c r="M19" s="51" t="str">
        <f t="shared" si="0"/>
        <v>-</v>
      </c>
      <c r="N19" s="55"/>
      <c r="O19" s="4"/>
      <c r="P19" s="18"/>
      <c r="Q19" s="56"/>
      <c r="R19" s="56"/>
      <c r="S19" s="56"/>
      <c r="T19" s="57"/>
    </row>
    <row r="20" spans="2:20" x14ac:dyDescent="0.3">
      <c r="B20" s="8"/>
      <c r="C20" s="9"/>
      <c r="E20" s="8"/>
      <c r="F20" s="13"/>
      <c r="G20" s="9"/>
      <c r="I20" s="16"/>
      <c r="J20" s="9"/>
      <c r="K20" s="9"/>
      <c r="M20" s="51" t="str">
        <f t="shared" si="0"/>
        <v>-</v>
      </c>
      <c r="N20" s="55"/>
      <c r="O20" s="4"/>
      <c r="P20" s="18"/>
      <c r="Q20" s="56"/>
      <c r="R20" s="56"/>
      <c r="S20" s="56"/>
      <c r="T20" s="57"/>
    </row>
    <row r="21" spans="2:20" x14ac:dyDescent="0.3">
      <c r="B21" s="8"/>
      <c r="C21" s="9"/>
      <c r="E21" s="8"/>
      <c r="F21" s="13"/>
      <c r="G21" s="9"/>
      <c r="I21" s="16"/>
      <c r="J21" s="9"/>
      <c r="K21" s="9"/>
      <c r="M21" s="51" t="str">
        <f t="shared" si="0"/>
        <v>-</v>
      </c>
      <c r="N21" s="55"/>
      <c r="O21" s="4"/>
      <c r="P21" s="18"/>
      <c r="Q21" s="56"/>
      <c r="R21" s="56"/>
      <c r="S21" s="56"/>
      <c r="T21" s="57"/>
    </row>
    <row r="22" spans="2:20" x14ac:dyDescent="0.3">
      <c r="B22" s="8"/>
      <c r="C22" s="9"/>
      <c r="E22" s="8"/>
      <c r="F22" s="13"/>
      <c r="G22" s="9"/>
      <c r="I22" s="16"/>
      <c r="J22" s="9"/>
      <c r="K22" s="9"/>
      <c r="M22" s="51" t="str">
        <f t="shared" si="0"/>
        <v>-</v>
      </c>
      <c r="N22" s="55"/>
      <c r="O22" s="4"/>
      <c r="P22" s="18"/>
      <c r="Q22" s="56"/>
      <c r="R22" s="56"/>
      <c r="S22" s="56"/>
      <c r="T22" s="57"/>
    </row>
    <row r="23" spans="2:20" x14ac:dyDescent="0.3">
      <c r="B23" s="8"/>
      <c r="C23" s="9"/>
      <c r="E23" s="8"/>
      <c r="F23" s="13"/>
      <c r="G23" s="9"/>
      <c r="I23" s="16"/>
      <c r="J23" s="9"/>
      <c r="K23" s="9"/>
      <c r="M23" s="51" t="str">
        <f t="shared" si="0"/>
        <v>-</v>
      </c>
      <c r="N23" s="55"/>
      <c r="O23" s="4"/>
      <c r="P23" s="18"/>
      <c r="Q23" s="56"/>
      <c r="R23" s="56"/>
      <c r="S23" s="56"/>
      <c r="T23" s="57"/>
    </row>
    <row r="24" spans="2:20" x14ac:dyDescent="0.3">
      <c r="B24" s="8"/>
      <c r="C24" s="9"/>
      <c r="E24" s="8"/>
      <c r="F24" s="13"/>
      <c r="G24" s="9"/>
      <c r="I24" s="16"/>
      <c r="J24" s="9"/>
      <c r="K24" s="9"/>
      <c r="M24" s="51" t="str">
        <f t="shared" si="0"/>
        <v>-</v>
      </c>
      <c r="N24" s="55"/>
      <c r="O24" s="4"/>
      <c r="P24" s="18"/>
      <c r="Q24" s="56"/>
      <c r="R24" s="56"/>
      <c r="S24" s="56"/>
      <c r="T24" s="57"/>
    </row>
    <row r="25" spans="2:20" x14ac:dyDescent="0.3">
      <c r="B25" s="10"/>
      <c r="C25" s="11"/>
      <c r="E25" s="10"/>
      <c r="F25" s="14"/>
      <c r="G25" s="11"/>
      <c r="I25" s="17"/>
      <c r="J25" s="11"/>
      <c r="K25" s="9"/>
      <c r="M25" s="51" t="str">
        <f t="shared" si="0"/>
        <v>-</v>
      </c>
      <c r="N25" s="58"/>
      <c r="O25" s="4"/>
      <c r="P25" s="59"/>
      <c r="Q25" s="60"/>
      <c r="R25" s="60"/>
      <c r="S25" s="60"/>
      <c r="T25" s="61"/>
    </row>
    <row r="26" spans="2:20" x14ac:dyDescent="0.3">
      <c r="M26" s="4"/>
      <c r="N26" s="4"/>
      <c r="O26" s="4"/>
      <c r="P26" s="4"/>
      <c r="Q26" s="4"/>
      <c r="R26" s="4"/>
      <c r="S26" s="4"/>
      <c r="T26" s="4"/>
    </row>
    <row r="27" spans="2:20" s="1" customFormat="1" x14ac:dyDescent="0.3">
      <c r="B27" s="19" t="s">
        <v>7</v>
      </c>
      <c r="C27" s="19"/>
      <c r="E27" s="19"/>
      <c r="F27" s="20"/>
      <c r="G27" s="19"/>
      <c r="I27" s="21"/>
      <c r="J27" s="23"/>
      <c r="K27" s="22"/>
      <c r="M27" s="25">
        <f>SUM(M8:M25)</f>
        <v>0</v>
      </c>
      <c r="N27" s="25">
        <f>SUM(N8:N25)</f>
        <v>0</v>
      </c>
      <c r="O27" s="62"/>
      <c r="P27" s="25">
        <f>SUM(P8:P25)</f>
        <v>0</v>
      </c>
      <c r="Q27" s="25">
        <f>SUM(Q8:Q25)</f>
        <v>0</v>
      </c>
      <c r="R27" s="25">
        <f>SUM(R8:R25)</f>
        <v>0</v>
      </c>
      <c r="S27" s="25">
        <f>SUM(S8:S25)</f>
        <v>0</v>
      </c>
      <c r="T27" s="25">
        <f>SUM(T8:T25)</f>
        <v>0</v>
      </c>
    </row>
    <row r="28" spans="2:20" ht="14.4" hidden="1" customHeight="1" x14ac:dyDescent="0.3">
      <c r="M28" s="4"/>
      <c r="N28" s="4"/>
      <c r="O28" s="4"/>
      <c r="P28" s="4"/>
      <c r="Q28" s="4"/>
      <c r="R28" s="4"/>
      <c r="S28" s="4"/>
      <c r="T28" s="4"/>
    </row>
    <row r="29" spans="2:20" ht="14.4" hidden="1" customHeight="1" x14ac:dyDescent="0.3">
      <c r="M29" s="4"/>
      <c r="N29" s="4"/>
      <c r="O29" s="4"/>
      <c r="P29" s="4">
        <f>SUMIF($J$8:$J$25, "Ja",(P8:P25))</f>
        <v>0</v>
      </c>
      <c r="Q29" s="4">
        <f>SUMIF($J$8:$J$25, "Ja",(Q8:Q25))</f>
        <v>0</v>
      </c>
      <c r="R29" s="4">
        <f>SUMIF($J$8:$J$25, "Ja",(R8:R25))</f>
        <v>0</v>
      </c>
      <c r="S29" s="4">
        <f>SUMIF($J$8:$J$25, "Ja",(S8:S25))</f>
        <v>0</v>
      </c>
      <c r="T29" s="4"/>
    </row>
    <row r="30" spans="2:20" ht="14.4" hidden="1" customHeight="1" x14ac:dyDescent="0.3">
      <c r="M30" s="4"/>
      <c r="N30" s="4"/>
      <c r="O30" s="4"/>
      <c r="P30" s="4">
        <f>P29/1.3</f>
        <v>0</v>
      </c>
      <c r="Q30" s="4">
        <f>Q29/1.3</f>
        <v>0</v>
      </c>
      <c r="R30" s="4">
        <f>R29/1.3</f>
        <v>0</v>
      </c>
      <c r="S30" s="4">
        <f>S29/1.3</f>
        <v>0</v>
      </c>
      <c r="T30" s="4"/>
    </row>
    <row r="31" spans="2:20" ht="14.4" hidden="1" customHeight="1" x14ac:dyDescent="0.3">
      <c r="M31" s="4"/>
      <c r="N31" s="4"/>
      <c r="O31" s="4"/>
      <c r="P31" s="4">
        <f>P27-P29</f>
        <v>0</v>
      </c>
      <c r="Q31" s="4">
        <f>Q27-Q29</f>
        <v>0</v>
      </c>
      <c r="R31" s="4">
        <f>R27-R29</f>
        <v>0</v>
      </c>
      <c r="S31" s="4">
        <f>S27-S29</f>
        <v>0</v>
      </c>
      <c r="T31" s="4"/>
    </row>
    <row r="32" spans="2:20" ht="14.4" hidden="1" customHeight="1" x14ac:dyDescent="0.3">
      <c r="B32" s="63"/>
      <c r="C32" s="64"/>
      <c r="D32" s="64"/>
      <c r="E32" s="64"/>
      <c r="F32" s="64"/>
      <c r="G32" s="64"/>
      <c r="H32" s="65"/>
      <c r="I32" s="65"/>
      <c r="K32" s="65"/>
      <c r="M32" s="66">
        <f>SUM(P32:T32)</f>
        <v>0</v>
      </c>
      <c r="N32" s="4"/>
      <c r="O32" s="4"/>
      <c r="P32" s="66">
        <f>P31+P30</f>
        <v>0</v>
      </c>
      <c r="Q32" s="66">
        <f>Q31+Q30</f>
        <v>0</v>
      </c>
      <c r="R32" s="66">
        <f>R31+R30</f>
        <v>0</v>
      </c>
      <c r="S32" s="66">
        <f>S31+S30</f>
        <v>0</v>
      </c>
      <c r="T32" s="66">
        <f>T27</f>
        <v>0</v>
      </c>
    </row>
    <row r="33" spans="13:20" x14ac:dyDescent="0.3">
      <c r="M33" s="4"/>
      <c r="N33" s="4"/>
      <c r="O33" s="4"/>
      <c r="P33" s="4"/>
      <c r="Q33" s="4"/>
      <c r="R33" s="4"/>
      <c r="S33" s="4"/>
      <c r="T33" s="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0DE55-56E5-4D5A-8E4B-182D4454227D}">
  <sheetPr codeName="Sheet2"/>
  <dimension ref="B1:G9"/>
  <sheetViews>
    <sheetView showGridLines="0" zoomScaleNormal="100" workbookViewId="0">
      <pane xSplit="2" ySplit="1" topLeftCell="C2" activePane="bottomRight" state="frozen"/>
      <selection pane="topRight" activeCell="C1" sqref="C1"/>
      <selection pane="bottomLeft" activeCell="A3" sqref="A3"/>
      <selection pane="bottomRight" activeCell="G2" sqref="G2"/>
    </sheetView>
  </sheetViews>
  <sheetFormatPr defaultRowHeight="14.4" x14ac:dyDescent="0.3"/>
  <cols>
    <col min="1" max="1" width="3.33203125" customWidth="1"/>
    <col min="2" max="2" width="61.6640625" customWidth="1"/>
    <col min="3" max="3" width="8.33203125" bestFit="1" customWidth="1"/>
    <col min="4" max="4" width="7.6640625" customWidth="1"/>
    <col min="5" max="5" width="9" customWidth="1"/>
    <col min="6" max="6" width="11.6640625" customWidth="1"/>
    <col min="7" max="7" width="44.33203125" customWidth="1"/>
  </cols>
  <sheetData>
    <row r="1" spans="2:7" s="68" customFormat="1" ht="28.8" x14ac:dyDescent="0.3">
      <c r="B1" s="67" t="s">
        <v>74</v>
      </c>
      <c r="C1" s="67" t="s">
        <v>4</v>
      </c>
      <c r="D1" s="67" t="s">
        <v>17</v>
      </c>
      <c r="E1" s="67" t="s">
        <v>15</v>
      </c>
      <c r="F1" s="67" t="s">
        <v>64</v>
      </c>
      <c r="G1" s="67" t="s">
        <v>32</v>
      </c>
    </row>
    <row r="2" spans="2:7" x14ac:dyDescent="0.3">
      <c r="B2" s="30" t="s">
        <v>75</v>
      </c>
      <c r="C2" s="31" t="s">
        <v>76</v>
      </c>
      <c r="D2" s="69">
        <v>1.5349999999999999</v>
      </c>
      <c r="E2" s="70">
        <v>40</v>
      </c>
      <c r="F2" s="38">
        <v>44592</v>
      </c>
      <c r="G2" s="31" t="s">
        <v>77</v>
      </c>
    </row>
    <row r="3" spans="2:7" x14ac:dyDescent="0.3">
      <c r="B3" s="8"/>
      <c r="C3" s="9"/>
      <c r="D3" s="69"/>
      <c r="E3" s="70"/>
      <c r="F3" s="38"/>
      <c r="G3" s="9"/>
    </row>
    <row r="4" spans="2:7" x14ac:dyDescent="0.3">
      <c r="B4" s="8"/>
      <c r="C4" s="9"/>
      <c r="D4" s="69"/>
      <c r="E4" s="70"/>
      <c r="F4" s="38"/>
      <c r="G4" s="9"/>
    </row>
    <row r="5" spans="2:7" x14ac:dyDescent="0.3">
      <c r="B5" s="8"/>
      <c r="C5" s="9"/>
      <c r="D5" s="69"/>
      <c r="E5" s="70"/>
      <c r="F5" s="38"/>
      <c r="G5" s="9"/>
    </row>
    <row r="6" spans="2:7" x14ac:dyDescent="0.3">
      <c r="B6" s="8"/>
      <c r="C6" s="9"/>
      <c r="D6" s="69"/>
      <c r="E6" s="70"/>
      <c r="F6" s="38"/>
      <c r="G6" s="9"/>
    </row>
    <row r="7" spans="2:7" x14ac:dyDescent="0.3">
      <c r="B7" s="8"/>
      <c r="C7" s="9"/>
      <c r="D7" s="69"/>
      <c r="E7" s="70"/>
      <c r="F7" s="38"/>
      <c r="G7" s="9"/>
    </row>
    <row r="8" spans="2:7" x14ac:dyDescent="0.3">
      <c r="B8" s="8"/>
      <c r="C8" s="9"/>
      <c r="D8" s="69"/>
      <c r="E8" s="70"/>
      <c r="F8" s="38"/>
      <c r="G8" s="9"/>
    </row>
    <row r="9" spans="2:7" x14ac:dyDescent="0.3">
      <c r="B9" s="8"/>
      <c r="C9" s="9"/>
      <c r="D9" s="69"/>
      <c r="E9" s="70"/>
      <c r="F9" s="38"/>
      <c r="G9" s="9"/>
    </row>
  </sheetData>
  <pageMargins left="0.7" right="0.7" top="0.75" bottom="0.75" header="0.3" footer="0.3"/>
  <pageSetup paperSize="9" orientation="portrait" r:id="rId1"/>
  <drawing r:id="rId2"/>
  <legacyDrawing r:id="rId3"/>
  <controls>
    <mc:AlternateContent xmlns:mc="http://schemas.openxmlformats.org/markup-compatibility/2006">
      <mc:Choice Requires="x14">
        <control shapeId="6170" r:id="rId4" name="Control 26">
          <controlPr defaultSize="0" r:id="rId5">
            <anchor moveWithCells="1">
              <from>
                <xdr:col>6</xdr:col>
                <xdr:colOff>2926080</xdr:colOff>
                <xdr:row>10</xdr:row>
                <xdr:rowOff>60960</xdr:rowOff>
              </from>
              <to>
                <xdr:col>8</xdr:col>
                <xdr:colOff>15240</xdr:colOff>
                <xdr:row>11</xdr:row>
                <xdr:rowOff>106680</xdr:rowOff>
              </to>
            </anchor>
          </controlPr>
        </control>
      </mc:Choice>
      <mc:Fallback>
        <control shapeId="6170" r:id="rId4" name="Control 26"/>
      </mc:Fallback>
    </mc:AlternateContent>
    <mc:AlternateContent xmlns:mc="http://schemas.openxmlformats.org/markup-compatibility/2006">
      <mc:Choice Requires="x14">
        <control shapeId="6169" r:id="rId6" name="Control 25">
          <controlPr defaultSize="0" r:id="rId7">
            <anchor moveWithCells="1">
              <from>
                <xdr:col>2</xdr:col>
                <xdr:colOff>327660</xdr:colOff>
                <xdr:row>9</xdr:row>
                <xdr:rowOff>45720</xdr:rowOff>
              </from>
              <to>
                <xdr:col>2</xdr:col>
                <xdr:colOff>556260</xdr:colOff>
                <xdr:row>10</xdr:row>
                <xdr:rowOff>106680</xdr:rowOff>
              </to>
            </anchor>
          </controlPr>
        </control>
      </mc:Choice>
      <mc:Fallback>
        <control shapeId="6169" r:id="rId6" name="Control 25"/>
      </mc:Fallback>
    </mc:AlternateContent>
    <mc:AlternateContent xmlns:mc="http://schemas.openxmlformats.org/markup-compatibility/2006">
      <mc:Choice Requires="x14">
        <control shapeId="6168" r:id="rId8" name="Control 24">
          <controlPr defaultSize="0" r:id="rId7">
            <anchor moveWithCells="1">
              <from>
                <xdr:col>2</xdr:col>
                <xdr:colOff>327660</xdr:colOff>
                <xdr:row>9</xdr:row>
                <xdr:rowOff>45720</xdr:rowOff>
              </from>
              <to>
                <xdr:col>2</xdr:col>
                <xdr:colOff>556260</xdr:colOff>
                <xdr:row>10</xdr:row>
                <xdr:rowOff>106680</xdr:rowOff>
              </to>
            </anchor>
          </controlPr>
        </control>
      </mc:Choice>
      <mc:Fallback>
        <control shapeId="6168" r:id="rId8" name="Control 24"/>
      </mc:Fallback>
    </mc:AlternateContent>
    <mc:AlternateContent xmlns:mc="http://schemas.openxmlformats.org/markup-compatibility/2006">
      <mc:Choice Requires="x14">
        <control shapeId="6167" r:id="rId9" name="Control 23">
          <controlPr defaultSize="0" r:id="rId7">
            <anchor moveWithCells="1">
              <from>
                <xdr:col>2</xdr:col>
                <xdr:colOff>327660</xdr:colOff>
                <xdr:row>9</xdr:row>
                <xdr:rowOff>45720</xdr:rowOff>
              </from>
              <to>
                <xdr:col>2</xdr:col>
                <xdr:colOff>556260</xdr:colOff>
                <xdr:row>10</xdr:row>
                <xdr:rowOff>106680</xdr:rowOff>
              </to>
            </anchor>
          </controlPr>
        </control>
      </mc:Choice>
      <mc:Fallback>
        <control shapeId="6167" r:id="rId9" name="Control 23"/>
      </mc:Fallback>
    </mc:AlternateContent>
    <mc:AlternateContent xmlns:mc="http://schemas.openxmlformats.org/markup-compatibility/2006">
      <mc:Choice Requires="x14">
        <control shapeId="6166" r:id="rId10" name="Control 22">
          <controlPr defaultSize="0" r:id="rId7">
            <anchor moveWithCells="1">
              <from>
                <xdr:col>2</xdr:col>
                <xdr:colOff>327660</xdr:colOff>
                <xdr:row>9</xdr:row>
                <xdr:rowOff>45720</xdr:rowOff>
              </from>
              <to>
                <xdr:col>2</xdr:col>
                <xdr:colOff>556260</xdr:colOff>
                <xdr:row>10</xdr:row>
                <xdr:rowOff>106680</xdr:rowOff>
              </to>
            </anchor>
          </controlPr>
        </control>
      </mc:Choice>
      <mc:Fallback>
        <control shapeId="6166" r:id="rId10" name="Control 22"/>
      </mc:Fallback>
    </mc:AlternateContent>
    <mc:AlternateContent xmlns:mc="http://schemas.openxmlformats.org/markup-compatibility/2006">
      <mc:Choice Requires="x14">
        <control shapeId="6165" r:id="rId11" name="Control 21">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65" r:id="rId11" name="Control 21"/>
      </mc:Fallback>
    </mc:AlternateContent>
    <mc:AlternateContent xmlns:mc="http://schemas.openxmlformats.org/markup-compatibility/2006">
      <mc:Choice Requires="x14">
        <control shapeId="6164" r:id="rId12" name="Control 20">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64" r:id="rId12" name="Control 20"/>
      </mc:Fallback>
    </mc:AlternateContent>
    <mc:AlternateContent xmlns:mc="http://schemas.openxmlformats.org/markup-compatibility/2006">
      <mc:Choice Requires="x14">
        <control shapeId="6163" r:id="rId13" name="Control 19">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63" r:id="rId13" name="Control 19"/>
      </mc:Fallback>
    </mc:AlternateContent>
    <mc:AlternateContent xmlns:mc="http://schemas.openxmlformats.org/markup-compatibility/2006">
      <mc:Choice Requires="x14">
        <control shapeId="6162" r:id="rId14" name="Control 18">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62" r:id="rId14" name="Control 18"/>
      </mc:Fallback>
    </mc:AlternateContent>
    <mc:AlternateContent xmlns:mc="http://schemas.openxmlformats.org/markup-compatibility/2006">
      <mc:Choice Requires="x14">
        <control shapeId="6161" r:id="rId15" name="Control 17">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61" r:id="rId15" name="Control 17"/>
      </mc:Fallback>
    </mc:AlternateContent>
    <mc:AlternateContent xmlns:mc="http://schemas.openxmlformats.org/markup-compatibility/2006">
      <mc:Choice Requires="x14">
        <control shapeId="6160" r:id="rId16" name="Control 16">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60" r:id="rId16" name="Control 16"/>
      </mc:Fallback>
    </mc:AlternateContent>
    <mc:AlternateContent xmlns:mc="http://schemas.openxmlformats.org/markup-compatibility/2006">
      <mc:Choice Requires="x14">
        <control shapeId="6159" r:id="rId17" name="Control 15">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59" r:id="rId17" name="Control 15"/>
      </mc:Fallback>
    </mc:AlternateContent>
    <mc:AlternateContent xmlns:mc="http://schemas.openxmlformats.org/markup-compatibility/2006">
      <mc:Choice Requires="x14">
        <control shapeId="6158" r:id="rId18" name="Control 14">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58" r:id="rId18" name="Control 14"/>
      </mc:Fallback>
    </mc:AlternateContent>
    <mc:AlternateContent xmlns:mc="http://schemas.openxmlformats.org/markup-compatibility/2006">
      <mc:Choice Requires="x14">
        <control shapeId="6157" r:id="rId19" name="Control 13">
          <controlPr defaultSize="0" r:id="rId7">
            <anchor moveWithCells="1">
              <from>
                <xdr:col>2</xdr:col>
                <xdr:colOff>327660</xdr:colOff>
                <xdr:row>9</xdr:row>
                <xdr:rowOff>0</xdr:rowOff>
              </from>
              <to>
                <xdr:col>2</xdr:col>
                <xdr:colOff>556260</xdr:colOff>
                <xdr:row>10</xdr:row>
                <xdr:rowOff>60960</xdr:rowOff>
              </to>
            </anchor>
          </controlPr>
        </control>
      </mc:Choice>
      <mc:Fallback>
        <control shapeId="6157" r:id="rId19" name="Control 13"/>
      </mc:Fallback>
    </mc:AlternateContent>
    <mc:AlternateContent xmlns:mc="http://schemas.openxmlformats.org/markup-compatibility/2006">
      <mc:Choice Requires="x14">
        <control shapeId="6156" r:id="rId20" name="Control 12">
          <controlPr defaultSize="0" r:id="rId7">
            <anchor moveWithCells="1">
              <from>
                <xdr:col>2</xdr:col>
                <xdr:colOff>327660</xdr:colOff>
                <xdr:row>8</xdr:row>
                <xdr:rowOff>22860</xdr:rowOff>
              </from>
              <to>
                <xdr:col>2</xdr:col>
                <xdr:colOff>556260</xdr:colOff>
                <xdr:row>9</xdr:row>
                <xdr:rowOff>83820</xdr:rowOff>
              </to>
            </anchor>
          </controlPr>
        </control>
      </mc:Choice>
      <mc:Fallback>
        <control shapeId="6156" r:id="rId20" name="Control 12"/>
      </mc:Fallback>
    </mc:AlternateContent>
    <mc:AlternateContent xmlns:mc="http://schemas.openxmlformats.org/markup-compatibility/2006">
      <mc:Choice Requires="x14">
        <control shapeId="6155" r:id="rId21" name="Control 11">
          <controlPr defaultSize="0" r:id="rId7">
            <anchor moveWithCells="1">
              <from>
                <xdr:col>2</xdr:col>
                <xdr:colOff>327660</xdr:colOff>
                <xdr:row>7</xdr:row>
                <xdr:rowOff>22860</xdr:rowOff>
              </from>
              <to>
                <xdr:col>2</xdr:col>
                <xdr:colOff>556260</xdr:colOff>
                <xdr:row>8</xdr:row>
                <xdr:rowOff>83820</xdr:rowOff>
              </to>
            </anchor>
          </controlPr>
        </control>
      </mc:Choice>
      <mc:Fallback>
        <control shapeId="6155" r:id="rId21" name="Control 11"/>
      </mc:Fallback>
    </mc:AlternateContent>
    <mc:AlternateContent xmlns:mc="http://schemas.openxmlformats.org/markup-compatibility/2006">
      <mc:Choice Requires="x14">
        <control shapeId="6154" r:id="rId22" name="Control 10">
          <controlPr defaultSize="0" r:id="rId7">
            <anchor moveWithCells="1">
              <from>
                <xdr:col>2</xdr:col>
                <xdr:colOff>327660</xdr:colOff>
                <xdr:row>6</xdr:row>
                <xdr:rowOff>22860</xdr:rowOff>
              </from>
              <to>
                <xdr:col>2</xdr:col>
                <xdr:colOff>556260</xdr:colOff>
                <xdr:row>7</xdr:row>
                <xdr:rowOff>83820</xdr:rowOff>
              </to>
            </anchor>
          </controlPr>
        </control>
      </mc:Choice>
      <mc:Fallback>
        <control shapeId="6154" r:id="rId22" name="Control 10"/>
      </mc:Fallback>
    </mc:AlternateContent>
    <mc:AlternateContent xmlns:mc="http://schemas.openxmlformats.org/markup-compatibility/2006">
      <mc:Choice Requires="x14">
        <control shapeId="6153" r:id="rId23" name="Control 9">
          <controlPr defaultSize="0" r:id="rId7">
            <anchor moveWithCells="1">
              <from>
                <xdr:col>2</xdr:col>
                <xdr:colOff>327660</xdr:colOff>
                <xdr:row>5</xdr:row>
                <xdr:rowOff>7620</xdr:rowOff>
              </from>
              <to>
                <xdr:col>2</xdr:col>
                <xdr:colOff>556260</xdr:colOff>
                <xdr:row>6</xdr:row>
                <xdr:rowOff>68580</xdr:rowOff>
              </to>
            </anchor>
          </controlPr>
        </control>
      </mc:Choice>
      <mc:Fallback>
        <control shapeId="6153" r:id="rId23" name="Control 9"/>
      </mc:Fallback>
    </mc:AlternateContent>
    <mc:AlternateContent xmlns:mc="http://schemas.openxmlformats.org/markup-compatibility/2006">
      <mc:Choice Requires="x14">
        <control shapeId="6152" r:id="rId24" name="Control 8">
          <controlPr defaultSize="0" r:id="rId7">
            <anchor moveWithCells="1">
              <from>
                <xdr:col>2</xdr:col>
                <xdr:colOff>327660</xdr:colOff>
                <xdr:row>4</xdr:row>
                <xdr:rowOff>7620</xdr:rowOff>
              </from>
              <to>
                <xdr:col>2</xdr:col>
                <xdr:colOff>556260</xdr:colOff>
                <xdr:row>5</xdr:row>
                <xdr:rowOff>68580</xdr:rowOff>
              </to>
            </anchor>
          </controlPr>
        </control>
      </mc:Choice>
      <mc:Fallback>
        <control shapeId="6152" r:id="rId24" name="Control 8"/>
      </mc:Fallback>
    </mc:AlternateContent>
    <mc:AlternateContent xmlns:mc="http://schemas.openxmlformats.org/markup-compatibility/2006">
      <mc:Choice Requires="x14">
        <control shapeId="6151" r:id="rId25" name="Control 7">
          <controlPr defaultSize="0" r:id="rId7">
            <anchor moveWithCells="1">
              <from>
                <xdr:col>2</xdr:col>
                <xdr:colOff>327660</xdr:colOff>
                <xdr:row>3</xdr:row>
                <xdr:rowOff>7620</xdr:rowOff>
              </from>
              <to>
                <xdr:col>2</xdr:col>
                <xdr:colOff>556260</xdr:colOff>
                <xdr:row>4</xdr:row>
                <xdr:rowOff>68580</xdr:rowOff>
              </to>
            </anchor>
          </controlPr>
        </control>
      </mc:Choice>
      <mc:Fallback>
        <control shapeId="6151" r:id="rId25" name="Control 7"/>
      </mc:Fallback>
    </mc:AlternateContent>
    <mc:AlternateContent xmlns:mc="http://schemas.openxmlformats.org/markup-compatibility/2006">
      <mc:Choice Requires="x14">
        <control shapeId="6150" r:id="rId26" name="Control 6">
          <controlPr defaultSize="0" r:id="rId7">
            <anchor moveWithCells="1">
              <from>
                <xdr:col>2</xdr:col>
                <xdr:colOff>327660</xdr:colOff>
                <xdr:row>2</xdr:row>
                <xdr:rowOff>7620</xdr:rowOff>
              </from>
              <to>
                <xdr:col>2</xdr:col>
                <xdr:colOff>556260</xdr:colOff>
                <xdr:row>3</xdr:row>
                <xdr:rowOff>68580</xdr:rowOff>
              </to>
            </anchor>
          </controlPr>
        </control>
      </mc:Choice>
      <mc:Fallback>
        <control shapeId="6150" r:id="rId26" name="Control 6"/>
      </mc:Fallback>
    </mc:AlternateContent>
    <mc:AlternateContent xmlns:mc="http://schemas.openxmlformats.org/markup-compatibility/2006">
      <mc:Choice Requires="x14">
        <control shapeId="6149" r:id="rId27" name="Control 5">
          <controlPr defaultSize="0" r:id="rId28">
            <anchor moveWithCells="1">
              <from>
                <xdr:col>2</xdr:col>
                <xdr:colOff>327660</xdr:colOff>
                <xdr:row>1</xdr:row>
                <xdr:rowOff>0</xdr:rowOff>
              </from>
              <to>
                <xdr:col>2</xdr:col>
                <xdr:colOff>556260</xdr:colOff>
                <xdr:row>2</xdr:row>
                <xdr:rowOff>60960</xdr:rowOff>
              </to>
            </anchor>
          </controlPr>
        </control>
      </mc:Choice>
      <mc:Fallback>
        <control shapeId="6149" r:id="rId27" name="Control 5"/>
      </mc:Fallback>
    </mc:AlternateContent>
    <mc:AlternateContent xmlns:mc="http://schemas.openxmlformats.org/markup-compatibility/2006">
      <mc:Choice Requires="x14">
        <control shapeId="6148" r:id="rId29" name="Control 4">
          <controlPr defaultSize="0" r:id="rId7">
            <anchor moveWithCells="1">
              <from>
                <xdr:col>2</xdr:col>
                <xdr:colOff>327660</xdr:colOff>
                <xdr:row>1</xdr:row>
                <xdr:rowOff>0</xdr:rowOff>
              </from>
              <to>
                <xdr:col>2</xdr:col>
                <xdr:colOff>556260</xdr:colOff>
                <xdr:row>2</xdr:row>
                <xdr:rowOff>60960</xdr:rowOff>
              </to>
            </anchor>
          </controlPr>
        </control>
      </mc:Choice>
      <mc:Fallback>
        <control shapeId="6148" r:id="rId29" name="Control 4"/>
      </mc:Fallback>
    </mc:AlternateContent>
    <mc:AlternateContent xmlns:mc="http://schemas.openxmlformats.org/markup-compatibility/2006">
      <mc:Choice Requires="x14">
        <control shapeId="6147" r:id="rId30" name="Control 3">
          <controlPr defaultSize="0" r:id="rId7">
            <anchor moveWithCells="1">
              <from>
                <xdr:col>2</xdr:col>
                <xdr:colOff>327660</xdr:colOff>
                <xdr:row>1</xdr:row>
                <xdr:rowOff>0</xdr:rowOff>
              </from>
              <to>
                <xdr:col>2</xdr:col>
                <xdr:colOff>556260</xdr:colOff>
                <xdr:row>2</xdr:row>
                <xdr:rowOff>60960</xdr:rowOff>
              </to>
            </anchor>
          </controlPr>
        </control>
      </mc:Choice>
      <mc:Fallback>
        <control shapeId="6147" r:id="rId30" name="Control 3"/>
      </mc:Fallback>
    </mc:AlternateContent>
    <mc:AlternateContent xmlns:mc="http://schemas.openxmlformats.org/markup-compatibility/2006">
      <mc:Choice Requires="x14">
        <control shapeId="6146" r:id="rId31" name="Control 2">
          <controlPr defaultSize="0" r:id="rId7">
            <anchor moveWithCells="1">
              <from>
                <xdr:col>2</xdr:col>
                <xdr:colOff>327660</xdr:colOff>
                <xdr:row>1</xdr:row>
                <xdr:rowOff>0</xdr:rowOff>
              </from>
              <to>
                <xdr:col>2</xdr:col>
                <xdr:colOff>556260</xdr:colOff>
                <xdr:row>2</xdr:row>
                <xdr:rowOff>60960</xdr:rowOff>
              </to>
            </anchor>
          </controlPr>
        </control>
      </mc:Choice>
      <mc:Fallback>
        <control shapeId="6146" r:id="rId31" name="Control 2"/>
      </mc:Fallback>
    </mc:AlternateContent>
    <mc:AlternateContent xmlns:mc="http://schemas.openxmlformats.org/markup-compatibility/2006">
      <mc:Choice Requires="x14">
        <control shapeId="6145" r:id="rId32" name="Control 1">
          <controlPr defaultSize="0" r:id="rId33">
            <anchor moveWithCells="1">
              <from>
                <xdr:col>1</xdr:col>
                <xdr:colOff>0</xdr:colOff>
                <xdr:row>1</xdr:row>
                <xdr:rowOff>0</xdr:rowOff>
              </from>
              <to>
                <xdr:col>1</xdr:col>
                <xdr:colOff>563880</xdr:colOff>
                <xdr:row>2</xdr:row>
                <xdr:rowOff>45720</xdr:rowOff>
              </to>
            </anchor>
          </controlPr>
        </control>
      </mc:Choice>
      <mc:Fallback>
        <control shapeId="6145" r:id="rId32" name="Control 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19B2-F528-4FE5-816F-D69881B44EE6}">
  <dimension ref="B2:T25"/>
  <sheetViews>
    <sheetView showGridLines="0" zoomScaleNormal="100" workbookViewId="0">
      <selection activeCell="E27" sqref="E27"/>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9" width="9.6640625" style="5" customWidth="1"/>
    <col min="10" max="10" width="9.6640625" customWidth="1"/>
    <col min="11" max="11" width="41.109375" bestFit="1" customWidth="1"/>
    <col min="12" max="12" width="2.33203125" customWidth="1"/>
    <col min="13" max="13" width="9.6640625" style="2" customWidth="1"/>
    <col min="14" max="14" width="9.6640625" style="2" hidden="1" customWidth="1"/>
    <col min="15" max="15" width="2.33203125" style="2" hidden="1" customWidth="1"/>
    <col min="16" max="20" width="9.6640625" style="2" hidden="1" customWidth="1"/>
  </cols>
  <sheetData>
    <row r="2" spans="2:20" x14ac:dyDescent="0.3">
      <c r="B2" s="41" t="s">
        <v>78</v>
      </c>
      <c r="C2" s="41"/>
      <c r="D2" s="41"/>
      <c r="E2" s="41"/>
      <c r="F2" s="42"/>
      <c r="G2" s="41"/>
      <c r="H2" s="41"/>
      <c r="I2" s="42"/>
      <c r="J2" s="41"/>
      <c r="K2" s="41"/>
      <c r="L2" s="41"/>
      <c r="M2" s="43"/>
      <c r="N2" s="43"/>
      <c r="O2" s="43"/>
      <c r="P2" s="43"/>
      <c r="Q2" s="43"/>
      <c r="R2" s="43"/>
      <c r="S2" s="43"/>
      <c r="T2" s="43"/>
    </row>
    <row r="3" spans="2:20" x14ac:dyDescent="0.3">
      <c r="B3" s="19" t="s">
        <v>10</v>
      </c>
      <c r="C3" s="29"/>
      <c r="F3"/>
      <c r="I3"/>
      <c r="M3"/>
      <c r="N3"/>
      <c r="O3"/>
      <c r="P3"/>
      <c r="Q3"/>
      <c r="R3"/>
      <c r="S3"/>
      <c r="T3"/>
    </row>
    <row r="4" spans="2:20" x14ac:dyDescent="0.3">
      <c r="B4" s="19" t="s">
        <v>15</v>
      </c>
      <c r="C4" s="29"/>
      <c r="F4"/>
      <c r="I4"/>
      <c r="M4"/>
      <c r="N4"/>
      <c r="O4"/>
      <c r="P4"/>
      <c r="Q4"/>
      <c r="R4"/>
      <c r="S4"/>
      <c r="T4"/>
    </row>
    <row r="6" spans="2:20" s="1" customFormat="1" ht="30.75" customHeight="1" x14ac:dyDescent="0.3">
      <c r="B6" s="44" t="s">
        <v>14</v>
      </c>
      <c r="C6" s="44"/>
      <c r="E6" s="44" t="s">
        <v>13</v>
      </c>
      <c r="F6" s="45"/>
      <c r="G6" s="44"/>
      <c r="I6" s="26" t="s">
        <v>12</v>
      </c>
      <c r="J6" s="3"/>
      <c r="K6" s="27"/>
      <c r="M6" s="46" t="s">
        <v>11</v>
      </c>
      <c r="N6" s="28"/>
      <c r="O6" s="47"/>
      <c r="P6" s="48" t="s">
        <v>67</v>
      </c>
      <c r="Q6" s="28"/>
      <c r="R6" s="28"/>
      <c r="S6" s="28"/>
      <c r="T6" s="28"/>
    </row>
    <row r="7" spans="2:20" s="1" customFormat="1" ht="43.2" x14ac:dyDescent="0.3">
      <c r="B7" s="19" t="s">
        <v>0</v>
      </c>
      <c r="C7" s="19" t="s">
        <v>1</v>
      </c>
      <c r="E7" s="19" t="s">
        <v>2</v>
      </c>
      <c r="F7" s="20" t="s">
        <v>3</v>
      </c>
      <c r="G7" s="19" t="s">
        <v>4</v>
      </c>
      <c r="I7" s="21" t="s">
        <v>5</v>
      </c>
      <c r="J7" s="21" t="s">
        <v>9</v>
      </c>
      <c r="K7" s="22" t="s">
        <v>6</v>
      </c>
      <c r="M7" s="24" t="s">
        <v>17</v>
      </c>
      <c r="N7" s="24" t="s">
        <v>68</v>
      </c>
      <c r="O7" s="49"/>
      <c r="P7" s="24" t="s">
        <v>69</v>
      </c>
      <c r="Q7" s="24" t="s">
        <v>70</v>
      </c>
      <c r="R7" s="24" t="s">
        <v>71</v>
      </c>
      <c r="S7" s="24" t="s">
        <v>72</v>
      </c>
      <c r="T7" s="24" t="s">
        <v>73</v>
      </c>
    </row>
    <row r="8" spans="2:20" x14ac:dyDescent="0.3">
      <c r="B8" s="6"/>
      <c r="C8" s="7"/>
      <c r="E8" s="30"/>
      <c r="F8" s="50"/>
      <c r="G8" s="7"/>
      <c r="I8" s="15"/>
      <c r="J8" s="7"/>
      <c r="K8" s="9"/>
      <c r="M8" s="51">
        <f>IFERROR(IF(J8&lt;$C$4,I8*$C$4/J8,I8)*F8,"-")</f>
        <v>0</v>
      </c>
      <c r="N8" s="52"/>
      <c r="O8" s="4"/>
      <c r="P8" s="53"/>
      <c r="Q8" s="50"/>
      <c r="R8" s="50"/>
      <c r="S8" s="50"/>
      <c r="T8" s="54"/>
    </row>
    <row r="9" spans="2:20" x14ac:dyDescent="0.3">
      <c r="B9" s="8"/>
      <c r="C9" s="9"/>
      <c r="E9" s="8"/>
      <c r="F9" s="13"/>
      <c r="G9" s="9"/>
      <c r="I9" s="16"/>
      <c r="J9" s="9"/>
      <c r="K9" s="9"/>
      <c r="M9" s="51">
        <f t="shared" ref="M9:M17" si="0">IFERROR(IF(J9&lt;$C$4,I9*$C$4/J9,I9)*F9,"-")</f>
        <v>0</v>
      </c>
      <c r="N9" s="55"/>
      <c r="O9" s="4"/>
      <c r="P9" s="18"/>
      <c r="Q9" s="56"/>
      <c r="R9" s="56"/>
      <c r="S9" s="56"/>
      <c r="T9" s="57"/>
    </row>
    <row r="10" spans="2:20" x14ac:dyDescent="0.3">
      <c r="B10" s="8"/>
      <c r="C10" s="9"/>
      <c r="E10" s="8"/>
      <c r="F10" s="13"/>
      <c r="G10" s="9"/>
      <c r="I10" s="16"/>
      <c r="J10" s="9"/>
      <c r="K10" s="9"/>
      <c r="M10" s="51">
        <f t="shared" si="0"/>
        <v>0</v>
      </c>
      <c r="N10" s="55"/>
      <c r="O10" s="4"/>
      <c r="P10" s="18"/>
      <c r="Q10" s="56"/>
      <c r="R10" s="56"/>
      <c r="S10" s="56"/>
      <c r="T10" s="57"/>
    </row>
    <row r="11" spans="2:20" x14ac:dyDescent="0.3">
      <c r="B11" s="8"/>
      <c r="C11" s="9"/>
      <c r="E11" s="8"/>
      <c r="F11" s="13"/>
      <c r="G11" s="9"/>
      <c r="I11" s="16"/>
      <c r="J11" s="9"/>
      <c r="K11" s="9"/>
      <c r="M11" s="51">
        <f t="shared" si="0"/>
        <v>0</v>
      </c>
      <c r="N11" s="55"/>
      <c r="O11" s="4"/>
      <c r="P11" s="18"/>
      <c r="Q11" s="56"/>
      <c r="R11" s="56"/>
      <c r="S11" s="56"/>
      <c r="T11" s="57"/>
    </row>
    <row r="12" spans="2:20" x14ac:dyDescent="0.3">
      <c r="B12" s="8"/>
      <c r="C12" s="9"/>
      <c r="E12" s="8"/>
      <c r="F12" s="13"/>
      <c r="G12" s="9"/>
      <c r="I12" s="16"/>
      <c r="J12" s="9"/>
      <c r="K12" s="9"/>
      <c r="M12" s="51">
        <f t="shared" si="0"/>
        <v>0</v>
      </c>
      <c r="N12" s="55"/>
      <c r="O12" s="4"/>
      <c r="P12" s="18"/>
      <c r="Q12" s="56"/>
      <c r="R12" s="56"/>
      <c r="S12" s="56"/>
      <c r="T12" s="57"/>
    </row>
    <row r="13" spans="2:20" x14ac:dyDescent="0.3">
      <c r="B13" s="8"/>
      <c r="C13" s="9"/>
      <c r="E13" s="8"/>
      <c r="F13" s="13"/>
      <c r="G13" s="9"/>
      <c r="I13" s="16"/>
      <c r="J13" s="9"/>
      <c r="K13" s="9"/>
      <c r="M13" s="51">
        <f t="shared" si="0"/>
        <v>0</v>
      </c>
      <c r="N13" s="55"/>
      <c r="O13" s="4"/>
      <c r="P13" s="18"/>
      <c r="Q13" s="56"/>
      <c r="R13" s="56"/>
      <c r="S13" s="56"/>
      <c r="T13" s="57"/>
    </row>
    <row r="14" spans="2:20" x14ac:dyDescent="0.3">
      <c r="B14" s="8"/>
      <c r="C14" s="9"/>
      <c r="E14" s="8"/>
      <c r="F14" s="13"/>
      <c r="G14" s="9"/>
      <c r="I14" s="16"/>
      <c r="J14" s="9"/>
      <c r="K14" s="9"/>
      <c r="M14" s="51">
        <f t="shared" si="0"/>
        <v>0</v>
      </c>
      <c r="N14" s="55"/>
      <c r="O14" s="4"/>
      <c r="P14" s="18"/>
      <c r="Q14" s="56"/>
      <c r="R14" s="56"/>
      <c r="S14" s="56"/>
      <c r="T14" s="57"/>
    </row>
    <row r="15" spans="2:20" x14ac:dyDescent="0.3">
      <c r="B15" s="8"/>
      <c r="C15" s="9"/>
      <c r="E15" s="8"/>
      <c r="F15" s="13"/>
      <c r="G15" s="9"/>
      <c r="I15" s="16"/>
      <c r="J15" s="9"/>
      <c r="K15" s="9"/>
      <c r="M15" s="51">
        <f t="shared" si="0"/>
        <v>0</v>
      </c>
      <c r="N15" s="55"/>
      <c r="O15" s="4"/>
      <c r="P15" s="18"/>
      <c r="Q15" s="56"/>
      <c r="R15" s="56"/>
      <c r="S15" s="56"/>
      <c r="T15" s="57"/>
    </row>
    <row r="16" spans="2:20" x14ac:dyDescent="0.3">
      <c r="B16" s="8"/>
      <c r="C16" s="9"/>
      <c r="E16" s="8"/>
      <c r="F16" s="13"/>
      <c r="G16" s="9"/>
      <c r="I16" s="16"/>
      <c r="J16" s="9"/>
      <c r="K16" s="9"/>
      <c r="M16" s="51">
        <f t="shared" si="0"/>
        <v>0</v>
      </c>
      <c r="N16" s="55"/>
      <c r="O16" s="4"/>
      <c r="P16" s="18"/>
      <c r="Q16" s="56"/>
      <c r="R16" s="56"/>
      <c r="S16" s="56"/>
      <c r="T16" s="57"/>
    </row>
    <row r="17" spans="2:20" x14ac:dyDescent="0.3">
      <c r="B17" s="8"/>
      <c r="C17" s="9"/>
      <c r="E17" s="8"/>
      <c r="F17" s="13"/>
      <c r="G17" s="9"/>
      <c r="I17" s="16"/>
      <c r="J17" s="9"/>
      <c r="K17" s="9"/>
      <c r="M17" s="51">
        <f t="shared" si="0"/>
        <v>0</v>
      </c>
      <c r="N17" s="55"/>
      <c r="O17" s="4"/>
      <c r="P17" s="18"/>
      <c r="Q17" s="56"/>
      <c r="R17" s="56"/>
      <c r="S17" s="56"/>
      <c r="T17" s="57"/>
    </row>
    <row r="18" spans="2:20" x14ac:dyDescent="0.3">
      <c r="M18" s="4"/>
      <c r="N18" s="4"/>
      <c r="O18" s="4"/>
      <c r="P18" s="4"/>
      <c r="Q18" s="4"/>
      <c r="R18" s="4"/>
      <c r="S18" s="4"/>
      <c r="T18" s="4"/>
    </row>
    <row r="19" spans="2:20" s="1" customFormat="1" x14ac:dyDescent="0.3">
      <c r="B19" s="19" t="s">
        <v>7</v>
      </c>
      <c r="C19" s="19"/>
      <c r="E19" s="19"/>
      <c r="F19" s="20"/>
      <c r="G19" s="19"/>
      <c r="I19" s="21"/>
      <c r="J19" s="23"/>
      <c r="K19" s="22"/>
      <c r="M19" s="25">
        <f>SUM(M8:M17)</f>
        <v>0</v>
      </c>
      <c r="N19" s="25">
        <f>SUM(N8:N17)</f>
        <v>0</v>
      </c>
      <c r="O19" s="62"/>
      <c r="P19" s="25">
        <f>SUM(P8:P17)</f>
        <v>0</v>
      </c>
      <c r="Q19" s="25">
        <f>SUM(Q8:Q17)</f>
        <v>0</v>
      </c>
      <c r="R19" s="25">
        <f>SUM(R8:R17)</f>
        <v>0</v>
      </c>
      <c r="S19" s="25">
        <f>SUM(S8:S17)</f>
        <v>0</v>
      </c>
      <c r="T19" s="25">
        <f>SUM(T8:T17)</f>
        <v>0</v>
      </c>
    </row>
    <row r="20" spans="2:20" ht="14.4" hidden="1" customHeight="1" x14ac:dyDescent="0.3">
      <c r="M20" s="4"/>
      <c r="N20" s="4"/>
      <c r="O20" s="4"/>
      <c r="P20" s="4"/>
      <c r="Q20" s="4"/>
      <c r="R20" s="4"/>
      <c r="S20" s="4"/>
      <c r="T20" s="4"/>
    </row>
    <row r="21" spans="2:20" ht="14.4" hidden="1" customHeight="1" x14ac:dyDescent="0.3">
      <c r="M21" s="4"/>
      <c r="N21" s="4"/>
      <c r="O21" s="4"/>
      <c r="P21" s="4">
        <f>SUMIF($J$8:$J$17, "Ja",(P8:P17))</f>
        <v>0</v>
      </c>
      <c r="Q21" s="4">
        <f>SUMIF($J$8:$J$17, "Ja",(Q8:Q17))</f>
        <v>0</v>
      </c>
      <c r="R21" s="4">
        <f>SUMIF($J$8:$J$17, "Ja",(R8:R17))</f>
        <v>0</v>
      </c>
      <c r="S21" s="4">
        <f>SUMIF($J$8:$J$17, "Ja",(S8:S17))</f>
        <v>0</v>
      </c>
      <c r="T21" s="4"/>
    </row>
    <row r="22" spans="2:20" ht="14.4" hidden="1" customHeight="1" x14ac:dyDescent="0.3">
      <c r="M22" s="4"/>
      <c r="N22" s="4"/>
      <c r="O22" s="4"/>
      <c r="P22" s="4">
        <f>P21/1.3</f>
        <v>0</v>
      </c>
      <c r="Q22" s="4">
        <f>Q21/1.3</f>
        <v>0</v>
      </c>
      <c r="R22" s="4">
        <f>R21/1.3</f>
        <v>0</v>
      </c>
      <c r="S22" s="4">
        <f>S21/1.3</f>
        <v>0</v>
      </c>
      <c r="T22" s="4"/>
    </row>
    <row r="23" spans="2:20" ht="14.4" hidden="1" customHeight="1" x14ac:dyDescent="0.3">
      <c r="M23" s="4"/>
      <c r="N23" s="4"/>
      <c r="O23" s="4"/>
      <c r="P23" s="4">
        <f>P19-P21</f>
        <v>0</v>
      </c>
      <c r="Q23" s="4">
        <f>Q19-Q21</f>
        <v>0</v>
      </c>
      <c r="R23" s="4">
        <f>R19-R21</f>
        <v>0</v>
      </c>
      <c r="S23" s="4">
        <f>S19-S21</f>
        <v>0</v>
      </c>
      <c r="T23" s="4"/>
    </row>
    <row r="24" spans="2:20" ht="14.4" hidden="1" customHeight="1" x14ac:dyDescent="0.3">
      <c r="B24" s="63"/>
      <c r="C24" s="64"/>
      <c r="D24" s="64"/>
      <c r="E24" s="64"/>
      <c r="F24" s="64"/>
      <c r="G24" s="64"/>
      <c r="H24" s="65"/>
      <c r="I24" s="65"/>
      <c r="K24" s="65"/>
      <c r="M24" s="66">
        <f>SUM(P24:T24)</f>
        <v>0</v>
      </c>
      <c r="N24" s="4"/>
      <c r="O24" s="4"/>
      <c r="P24" s="66">
        <f>P23+P22</f>
        <v>0</v>
      </c>
      <c r="Q24" s="66">
        <f>Q23+Q22</f>
        <v>0</v>
      </c>
      <c r="R24" s="66">
        <f>R23+R22</f>
        <v>0</v>
      </c>
      <c r="S24" s="66">
        <f>S23+S22</f>
        <v>0</v>
      </c>
      <c r="T24" s="66">
        <f>T19</f>
        <v>0</v>
      </c>
    </row>
    <row r="25" spans="2:20" x14ac:dyDescent="0.3">
      <c r="M25" s="4"/>
      <c r="N25" s="4"/>
      <c r="O25" s="4"/>
      <c r="P25" s="4"/>
      <c r="Q25" s="4"/>
      <c r="R25" s="4"/>
      <c r="S25" s="4"/>
      <c r="T25" s="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39DB-33ED-40A8-AFBA-7A229908F2AC}">
  <sheetPr codeName="Sheet4"/>
  <dimension ref="B2:G12"/>
  <sheetViews>
    <sheetView showGridLines="0" zoomScaleNormal="100" workbookViewId="0">
      <pane xSplit="2" ySplit="2" topLeftCell="C3" activePane="bottomRight" state="frozen"/>
      <selection pane="topRight" activeCell="C1" sqref="C1"/>
      <selection pane="bottomLeft" activeCell="A3" sqref="A3"/>
      <selection pane="bottomRight" activeCell="E7" sqref="E7"/>
    </sheetView>
  </sheetViews>
  <sheetFormatPr defaultRowHeight="14.4" x14ac:dyDescent="0.3"/>
  <cols>
    <col min="1" max="1" width="3.33203125" customWidth="1"/>
    <col min="2" max="2" width="58.44140625" customWidth="1"/>
    <col min="3" max="3" width="8.33203125" bestFit="1" customWidth="1"/>
    <col min="4" max="4" width="7.6640625" customWidth="1"/>
    <col min="5" max="5" width="9" customWidth="1"/>
    <col min="6" max="6" width="11.6640625" customWidth="1"/>
    <col min="7" max="7" width="44.33203125" customWidth="1"/>
  </cols>
  <sheetData>
    <row r="2" spans="2:7" s="68" customFormat="1" ht="28.8" x14ac:dyDescent="0.3">
      <c r="B2" s="67" t="s">
        <v>74</v>
      </c>
      <c r="C2" s="67" t="s">
        <v>4</v>
      </c>
      <c r="D2" s="67" t="s">
        <v>17</v>
      </c>
      <c r="E2" s="67" t="s">
        <v>15</v>
      </c>
      <c r="F2" s="67" t="s">
        <v>64</v>
      </c>
      <c r="G2" s="67" t="s">
        <v>32</v>
      </c>
    </row>
    <row r="3" spans="2:7" x14ac:dyDescent="0.3">
      <c r="B3" s="30" t="s">
        <v>79</v>
      </c>
      <c r="C3" s="31" t="s">
        <v>19</v>
      </c>
      <c r="D3" s="69">
        <v>39.192399999999999</v>
      </c>
      <c r="E3" s="70">
        <v>50</v>
      </c>
      <c r="F3" s="38">
        <v>44592</v>
      </c>
      <c r="G3" s="31" t="s">
        <v>80</v>
      </c>
    </row>
    <row r="4" spans="2:7" x14ac:dyDescent="0.3">
      <c r="B4" s="30" t="s">
        <v>81</v>
      </c>
      <c r="C4" s="31" t="s">
        <v>19</v>
      </c>
      <c r="D4" s="69">
        <f>D3/136*80</f>
        <v>23.054352941176468</v>
      </c>
      <c r="E4" s="70">
        <v>50</v>
      </c>
      <c r="F4" s="38">
        <v>44592</v>
      </c>
      <c r="G4" s="31" t="s">
        <v>82</v>
      </c>
    </row>
    <row r="5" spans="2:7" x14ac:dyDescent="0.3">
      <c r="B5" s="30" t="s">
        <v>83</v>
      </c>
      <c r="C5" s="31" t="s">
        <v>19</v>
      </c>
      <c r="D5" s="69">
        <v>13.232100000000001</v>
      </c>
      <c r="E5" s="70">
        <v>50</v>
      </c>
      <c r="F5" s="38">
        <v>44592</v>
      </c>
      <c r="G5" s="31" t="s">
        <v>84</v>
      </c>
    </row>
    <row r="6" spans="2:7" x14ac:dyDescent="0.3">
      <c r="B6" s="8" t="s">
        <v>85</v>
      </c>
      <c r="C6" s="9" t="s">
        <v>19</v>
      </c>
      <c r="D6" s="69">
        <v>2.5348999999999999</v>
      </c>
      <c r="E6" s="70">
        <v>30</v>
      </c>
      <c r="F6" s="38">
        <v>44592</v>
      </c>
      <c r="G6" s="9" t="s">
        <v>86</v>
      </c>
    </row>
    <row r="7" spans="2:7" x14ac:dyDescent="0.3">
      <c r="B7" s="8" t="s">
        <v>87</v>
      </c>
      <c r="C7" s="9" t="s">
        <v>88</v>
      </c>
      <c r="D7" s="69">
        <v>2.3237999999999999</v>
      </c>
      <c r="E7" s="70">
        <v>1000</v>
      </c>
      <c r="F7" s="38">
        <v>44592</v>
      </c>
      <c r="G7" s="9" t="s">
        <v>89</v>
      </c>
    </row>
    <row r="8" spans="2:7" x14ac:dyDescent="0.3">
      <c r="B8" s="8" t="s">
        <v>90</v>
      </c>
      <c r="C8" s="9" t="s">
        <v>19</v>
      </c>
      <c r="D8" s="69">
        <v>2.6775000000000002</v>
      </c>
      <c r="E8" s="70">
        <v>1000</v>
      </c>
      <c r="F8" s="38">
        <v>44592</v>
      </c>
      <c r="G8" s="9" t="s">
        <v>91</v>
      </c>
    </row>
    <row r="9" spans="2:7" x14ac:dyDescent="0.3">
      <c r="B9" s="30" t="s">
        <v>92</v>
      </c>
      <c r="C9" s="9" t="s">
        <v>19</v>
      </c>
      <c r="D9" s="69">
        <v>0.53010000000000002</v>
      </c>
      <c r="E9" s="70">
        <v>1000</v>
      </c>
      <c r="F9" s="38">
        <v>44592</v>
      </c>
      <c r="G9" s="9" t="s">
        <v>93</v>
      </c>
    </row>
    <row r="10" spans="2:7" x14ac:dyDescent="0.3">
      <c r="B10" s="30" t="s">
        <v>94</v>
      </c>
      <c r="C10" s="9" t="s">
        <v>19</v>
      </c>
      <c r="D10" s="69">
        <v>1.4289000000000001</v>
      </c>
      <c r="E10" s="70">
        <v>100</v>
      </c>
      <c r="F10" s="38">
        <v>44592</v>
      </c>
      <c r="G10" s="9" t="s">
        <v>95</v>
      </c>
    </row>
    <row r="11" spans="2:7" x14ac:dyDescent="0.3">
      <c r="B11" s="30" t="s">
        <v>96</v>
      </c>
      <c r="C11" s="9" t="s">
        <v>97</v>
      </c>
      <c r="D11" s="69">
        <v>4.0452000000000004</v>
      </c>
      <c r="E11" s="70">
        <v>1000</v>
      </c>
      <c r="F11" s="38">
        <v>44592</v>
      </c>
      <c r="G11" s="9" t="s">
        <v>98</v>
      </c>
    </row>
    <row r="12" spans="2:7" x14ac:dyDescent="0.3">
      <c r="B12" s="30"/>
      <c r="C12" s="9"/>
      <c r="D12" s="69"/>
      <c r="E12" s="70"/>
      <c r="F12" s="38"/>
      <c r="G12" s="9"/>
    </row>
  </sheetData>
  <pageMargins left="0.7" right="0.7" top="0.75" bottom="0.75" header="0.3" footer="0.3"/>
  <pageSetup paperSize="9" orientation="portrait" r:id="rId1"/>
  <drawing r:id="rId2"/>
  <legacyDrawing r:id="rId3"/>
  <controls>
    <mc:AlternateContent xmlns:mc="http://schemas.openxmlformats.org/markup-compatibility/2006">
      <mc:Choice Requires="x14">
        <control shapeId="13313" r:id="rId4" name="Control 1">
          <controlPr defaultSize="0" r:id="rId5">
            <anchor moveWithCells="1">
              <from>
                <xdr:col>1</xdr:col>
                <xdr:colOff>220980</xdr:colOff>
                <xdr:row>2</xdr:row>
                <xdr:rowOff>0</xdr:rowOff>
              </from>
              <to>
                <xdr:col>1</xdr:col>
                <xdr:colOff>579120</xdr:colOff>
                <xdr:row>3</xdr:row>
                <xdr:rowOff>45720</xdr:rowOff>
              </to>
            </anchor>
          </controlPr>
        </control>
      </mc:Choice>
      <mc:Fallback>
        <control shapeId="13313" r:id="rId4" name="Control 1"/>
      </mc:Fallback>
    </mc:AlternateContent>
    <mc:AlternateContent xmlns:mc="http://schemas.openxmlformats.org/markup-compatibility/2006">
      <mc:Choice Requires="x14">
        <control shapeId="13314" r:id="rId6" name="Control 2">
          <controlPr defaultSize="0" r:id="rId7">
            <anchor moveWithCells="1">
              <from>
                <xdr:col>2</xdr:col>
                <xdr:colOff>327660</xdr:colOff>
                <xdr:row>2</xdr:row>
                <xdr:rowOff>0</xdr:rowOff>
              </from>
              <to>
                <xdr:col>2</xdr:col>
                <xdr:colOff>556260</xdr:colOff>
                <xdr:row>3</xdr:row>
                <xdr:rowOff>60960</xdr:rowOff>
              </to>
            </anchor>
          </controlPr>
        </control>
      </mc:Choice>
      <mc:Fallback>
        <control shapeId="13314" r:id="rId6" name="Control 2"/>
      </mc:Fallback>
    </mc:AlternateContent>
    <mc:AlternateContent xmlns:mc="http://schemas.openxmlformats.org/markup-compatibility/2006">
      <mc:Choice Requires="x14">
        <control shapeId="13315" r:id="rId8" name="Control 3">
          <controlPr defaultSize="0" r:id="rId7">
            <anchor moveWithCells="1">
              <from>
                <xdr:col>2</xdr:col>
                <xdr:colOff>327660</xdr:colOff>
                <xdr:row>2</xdr:row>
                <xdr:rowOff>0</xdr:rowOff>
              </from>
              <to>
                <xdr:col>2</xdr:col>
                <xdr:colOff>556260</xdr:colOff>
                <xdr:row>3</xdr:row>
                <xdr:rowOff>60960</xdr:rowOff>
              </to>
            </anchor>
          </controlPr>
        </control>
      </mc:Choice>
      <mc:Fallback>
        <control shapeId="13315" r:id="rId8" name="Control 3"/>
      </mc:Fallback>
    </mc:AlternateContent>
    <mc:AlternateContent xmlns:mc="http://schemas.openxmlformats.org/markup-compatibility/2006">
      <mc:Choice Requires="x14">
        <control shapeId="13316" r:id="rId9" name="Control 4">
          <controlPr defaultSize="0" r:id="rId7">
            <anchor moveWithCells="1">
              <from>
                <xdr:col>2</xdr:col>
                <xdr:colOff>327660</xdr:colOff>
                <xdr:row>2</xdr:row>
                <xdr:rowOff>0</xdr:rowOff>
              </from>
              <to>
                <xdr:col>2</xdr:col>
                <xdr:colOff>556260</xdr:colOff>
                <xdr:row>3</xdr:row>
                <xdr:rowOff>60960</xdr:rowOff>
              </to>
            </anchor>
          </controlPr>
        </control>
      </mc:Choice>
      <mc:Fallback>
        <control shapeId="13316" r:id="rId9" name="Control 4"/>
      </mc:Fallback>
    </mc:AlternateContent>
    <mc:AlternateContent xmlns:mc="http://schemas.openxmlformats.org/markup-compatibility/2006">
      <mc:Choice Requires="x14">
        <control shapeId="13317" r:id="rId10" name="Control 5">
          <controlPr defaultSize="0" r:id="rId11">
            <anchor moveWithCells="1">
              <from>
                <xdr:col>2</xdr:col>
                <xdr:colOff>327660</xdr:colOff>
                <xdr:row>2</xdr:row>
                <xdr:rowOff>0</xdr:rowOff>
              </from>
              <to>
                <xdr:col>2</xdr:col>
                <xdr:colOff>556260</xdr:colOff>
                <xdr:row>3</xdr:row>
                <xdr:rowOff>60960</xdr:rowOff>
              </to>
            </anchor>
          </controlPr>
        </control>
      </mc:Choice>
      <mc:Fallback>
        <control shapeId="13317" r:id="rId10" name="Control 5"/>
      </mc:Fallback>
    </mc:AlternateContent>
    <mc:AlternateContent xmlns:mc="http://schemas.openxmlformats.org/markup-compatibility/2006">
      <mc:Choice Requires="x14">
        <control shapeId="13318" r:id="rId12" name="Control 6">
          <controlPr defaultSize="0" r:id="rId7">
            <anchor moveWithCells="1">
              <from>
                <xdr:col>2</xdr:col>
                <xdr:colOff>327660</xdr:colOff>
                <xdr:row>5</xdr:row>
                <xdr:rowOff>7620</xdr:rowOff>
              </from>
              <to>
                <xdr:col>2</xdr:col>
                <xdr:colOff>556260</xdr:colOff>
                <xdr:row>6</xdr:row>
                <xdr:rowOff>68580</xdr:rowOff>
              </to>
            </anchor>
          </controlPr>
        </control>
      </mc:Choice>
      <mc:Fallback>
        <control shapeId="13318" r:id="rId12" name="Control 6"/>
      </mc:Fallback>
    </mc:AlternateContent>
    <mc:AlternateContent xmlns:mc="http://schemas.openxmlformats.org/markup-compatibility/2006">
      <mc:Choice Requires="x14">
        <control shapeId="13319" r:id="rId13" name="Control 7">
          <controlPr defaultSize="0" r:id="rId7">
            <anchor moveWithCells="1">
              <from>
                <xdr:col>2</xdr:col>
                <xdr:colOff>327660</xdr:colOff>
                <xdr:row>6</xdr:row>
                <xdr:rowOff>7620</xdr:rowOff>
              </from>
              <to>
                <xdr:col>2</xdr:col>
                <xdr:colOff>556260</xdr:colOff>
                <xdr:row>7</xdr:row>
                <xdr:rowOff>68580</xdr:rowOff>
              </to>
            </anchor>
          </controlPr>
        </control>
      </mc:Choice>
      <mc:Fallback>
        <control shapeId="13319" r:id="rId13" name="Control 7"/>
      </mc:Fallback>
    </mc:AlternateContent>
    <mc:AlternateContent xmlns:mc="http://schemas.openxmlformats.org/markup-compatibility/2006">
      <mc:Choice Requires="x14">
        <control shapeId="13320" r:id="rId14" name="Control 8">
          <controlPr defaultSize="0" r:id="rId7">
            <anchor moveWithCells="1">
              <from>
                <xdr:col>2</xdr:col>
                <xdr:colOff>327660</xdr:colOff>
                <xdr:row>7</xdr:row>
                <xdr:rowOff>7620</xdr:rowOff>
              </from>
              <to>
                <xdr:col>2</xdr:col>
                <xdr:colOff>556260</xdr:colOff>
                <xdr:row>8</xdr:row>
                <xdr:rowOff>68580</xdr:rowOff>
              </to>
            </anchor>
          </controlPr>
        </control>
      </mc:Choice>
      <mc:Fallback>
        <control shapeId="13320" r:id="rId14" name="Control 8"/>
      </mc:Fallback>
    </mc:AlternateContent>
    <mc:AlternateContent xmlns:mc="http://schemas.openxmlformats.org/markup-compatibility/2006">
      <mc:Choice Requires="x14">
        <control shapeId="13321" r:id="rId15" name="Control 9">
          <controlPr defaultSize="0" r:id="rId7">
            <anchor moveWithCells="1">
              <from>
                <xdr:col>2</xdr:col>
                <xdr:colOff>327660</xdr:colOff>
                <xdr:row>11</xdr:row>
                <xdr:rowOff>0</xdr:rowOff>
              </from>
              <to>
                <xdr:col>2</xdr:col>
                <xdr:colOff>556260</xdr:colOff>
                <xdr:row>12</xdr:row>
                <xdr:rowOff>60960</xdr:rowOff>
              </to>
            </anchor>
          </controlPr>
        </control>
      </mc:Choice>
      <mc:Fallback>
        <control shapeId="13321" r:id="rId15" name="Control 9"/>
      </mc:Fallback>
    </mc:AlternateContent>
    <mc:AlternateContent xmlns:mc="http://schemas.openxmlformats.org/markup-compatibility/2006">
      <mc:Choice Requires="x14">
        <control shapeId="13322" r:id="rId16" name="Control 10">
          <controlPr defaultSize="0" r:id="rId7">
            <anchor moveWithCells="1">
              <from>
                <xdr:col>2</xdr:col>
                <xdr:colOff>327660</xdr:colOff>
                <xdr:row>11</xdr:row>
                <xdr:rowOff>22860</xdr:rowOff>
              </from>
              <to>
                <xdr:col>2</xdr:col>
                <xdr:colOff>556260</xdr:colOff>
                <xdr:row>12</xdr:row>
                <xdr:rowOff>83820</xdr:rowOff>
              </to>
            </anchor>
          </controlPr>
        </control>
      </mc:Choice>
      <mc:Fallback>
        <control shapeId="13322" r:id="rId16" name="Control 10"/>
      </mc:Fallback>
    </mc:AlternateContent>
    <mc:AlternateContent xmlns:mc="http://schemas.openxmlformats.org/markup-compatibility/2006">
      <mc:Choice Requires="x14">
        <control shapeId="13323" r:id="rId17" name="Control 11">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23" r:id="rId17" name="Control 11"/>
      </mc:Fallback>
    </mc:AlternateContent>
    <mc:AlternateContent xmlns:mc="http://schemas.openxmlformats.org/markup-compatibility/2006">
      <mc:Choice Requires="x14">
        <control shapeId="13324" r:id="rId18" name="Control 12">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24" r:id="rId18" name="Control 12"/>
      </mc:Fallback>
    </mc:AlternateContent>
    <mc:AlternateContent xmlns:mc="http://schemas.openxmlformats.org/markup-compatibility/2006">
      <mc:Choice Requires="x14">
        <control shapeId="13325" r:id="rId19" name="Control 13">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25" r:id="rId19" name="Control 13"/>
      </mc:Fallback>
    </mc:AlternateContent>
    <mc:AlternateContent xmlns:mc="http://schemas.openxmlformats.org/markup-compatibility/2006">
      <mc:Choice Requires="x14">
        <control shapeId="13326" r:id="rId20" name="Control 14">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26" r:id="rId20" name="Control 14"/>
      </mc:Fallback>
    </mc:AlternateContent>
    <mc:AlternateContent xmlns:mc="http://schemas.openxmlformats.org/markup-compatibility/2006">
      <mc:Choice Requires="x14">
        <control shapeId="13327" r:id="rId21" name="Control 15">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27" r:id="rId21" name="Control 15"/>
      </mc:Fallback>
    </mc:AlternateContent>
    <mc:AlternateContent xmlns:mc="http://schemas.openxmlformats.org/markup-compatibility/2006">
      <mc:Choice Requires="x14">
        <control shapeId="13328" r:id="rId22" name="Control 16">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28" r:id="rId22" name="Control 16"/>
      </mc:Fallback>
    </mc:AlternateContent>
    <mc:AlternateContent xmlns:mc="http://schemas.openxmlformats.org/markup-compatibility/2006">
      <mc:Choice Requires="x14">
        <control shapeId="13329" r:id="rId23" name="Control 17">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29" r:id="rId23" name="Control 17"/>
      </mc:Fallback>
    </mc:AlternateContent>
    <mc:AlternateContent xmlns:mc="http://schemas.openxmlformats.org/markup-compatibility/2006">
      <mc:Choice Requires="x14">
        <control shapeId="13330" r:id="rId24" name="Control 18">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0" r:id="rId24" name="Control 18"/>
      </mc:Fallback>
    </mc:AlternateContent>
    <mc:AlternateContent xmlns:mc="http://schemas.openxmlformats.org/markup-compatibility/2006">
      <mc:Choice Requires="x14">
        <control shapeId="13331" r:id="rId25" name="Control 19">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1" r:id="rId25" name="Control 19"/>
      </mc:Fallback>
    </mc:AlternateContent>
    <mc:AlternateContent xmlns:mc="http://schemas.openxmlformats.org/markup-compatibility/2006">
      <mc:Choice Requires="x14">
        <control shapeId="13332" r:id="rId26" name="Control 20">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2" r:id="rId26" name="Control 20"/>
      </mc:Fallback>
    </mc:AlternateContent>
    <mc:AlternateContent xmlns:mc="http://schemas.openxmlformats.org/markup-compatibility/2006">
      <mc:Choice Requires="x14">
        <control shapeId="13333" r:id="rId27" name="Control 21">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3" r:id="rId27" name="Control 21"/>
      </mc:Fallback>
    </mc:AlternateContent>
    <mc:AlternateContent xmlns:mc="http://schemas.openxmlformats.org/markup-compatibility/2006">
      <mc:Choice Requires="x14">
        <control shapeId="13334" r:id="rId28" name="Control 22">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4" r:id="rId28" name="Control 22"/>
      </mc:Fallback>
    </mc:AlternateContent>
    <mc:AlternateContent xmlns:mc="http://schemas.openxmlformats.org/markup-compatibility/2006">
      <mc:Choice Requires="x14">
        <control shapeId="13335" r:id="rId29" name="Control 23">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5" r:id="rId29" name="Control 23"/>
      </mc:Fallback>
    </mc:AlternateContent>
    <mc:AlternateContent xmlns:mc="http://schemas.openxmlformats.org/markup-compatibility/2006">
      <mc:Choice Requires="x14">
        <control shapeId="13336" r:id="rId30" name="Control 24">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6" r:id="rId30" name="Control 24"/>
      </mc:Fallback>
    </mc:AlternateContent>
    <mc:AlternateContent xmlns:mc="http://schemas.openxmlformats.org/markup-compatibility/2006">
      <mc:Choice Requires="x14">
        <control shapeId="13337" r:id="rId31" name="Control 25">
          <controlPr defaultSize="0" r:id="rId7">
            <anchor moveWithCells="1">
              <from>
                <xdr:col>2</xdr:col>
                <xdr:colOff>327660</xdr:colOff>
                <xdr:row>12</xdr:row>
                <xdr:rowOff>0</xdr:rowOff>
              </from>
              <to>
                <xdr:col>2</xdr:col>
                <xdr:colOff>556260</xdr:colOff>
                <xdr:row>13</xdr:row>
                <xdr:rowOff>60960</xdr:rowOff>
              </to>
            </anchor>
          </controlPr>
        </control>
      </mc:Choice>
      <mc:Fallback>
        <control shapeId="13337" r:id="rId31" name="Control 25"/>
      </mc:Fallback>
    </mc:AlternateContent>
    <mc:AlternateContent xmlns:mc="http://schemas.openxmlformats.org/markup-compatibility/2006">
      <mc:Choice Requires="x14">
        <control shapeId="13338" r:id="rId32" name="Control 26">
          <controlPr defaultSize="0" r:id="rId33">
            <anchor moveWithCells="1">
              <from>
                <xdr:col>6</xdr:col>
                <xdr:colOff>2926080</xdr:colOff>
                <xdr:row>12</xdr:row>
                <xdr:rowOff>0</xdr:rowOff>
              </from>
              <to>
                <xdr:col>8</xdr:col>
                <xdr:colOff>15240</xdr:colOff>
                <xdr:row>13</xdr:row>
                <xdr:rowOff>45720</xdr:rowOff>
              </to>
            </anchor>
          </controlPr>
        </control>
      </mc:Choice>
      <mc:Fallback>
        <control shapeId="13338" r:id="rId32" name="Control 26"/>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E3AB3-F873-4F4F-B2FF-3E6AAA464A06}">
  <dimension ref="B2:W59"/>
  <sheetViews>
    <sheetView showGridLines="0" topLeftCell="A16" zoomScale="70" zoomScaleNormal="70" workbookViewId="0">
      <selection activeCell="L40" sqref="L40"/>
    </sheetView>
  </sheetViews>
  <sheetFormatPr defaultRowHeight="14.4" x14ac:dyDescent="0.3"/>
  <cols>
    <col min="1" max="1" width="3.6640625" customWidth="1"/>
    <col min="2" max="2" width="22" bestFit="1" customWidth="1"/>
    <col min="3" max="3" width="27.6640625" bestFit="1" customWidth="1"/>
    <col min="4" max="4" width="2.33203125" customWidth="1"/>
    <col min="5" max="5" width="47.44140625" bestFit="1" customWidth="1"/>
    <col min="6" max="6" width="13.6640625" style="5" customWidth="1"/>
    <col min="7" max="7" width="9.6640625" customWidth="1"/>
    <col min="8" max="8" width="2.33203125" customWidth="1"/>
    <col min="9" max="10" width="9.6640625" style="5" customWidth="1"/>
    <col min="11" max="11" width="9.6640625" style="5" hidden="1" customWidth="1"/>
    <col min="12" max="12" width="41.109375" bestFit="1" customWidth="1"/>
    <col min="13" max="13" width="9.6640625" customWidth="1"/>
    <col min="14" max="14" width="2.33203125" customWidth="1"/>
    <col min="15" max="15" width="9.6640625" style="2" customWidth="1"/>
    <col min="16" max="16" width="11.109375" style="2" customWidth="1"/>
    <col min="17" max="17" width="9.6640625" style="2" hidden="1" customWidth="1"/>
    <col min="18" max="18" width="2.33203125" style="2" customWidth="1"/>
    <col min="19" max="23" width="9.6640625" style="2" customWidth="1"/>
  </cols>
  <sheetData>
    <row r="2" spans="2:23" x14ac:dyDescent="0.3">
      <c r="B2" s="41" t="s">
        <v>99</v>
      </c>
      <c r="C2" s="41"/>
      <c r="D2" s="41"/>
      <c r="E2" s="41"/>
      <c r="F2" s="42"/>
      <c r="G2" s="41"/>
      <c r="H2" s="41"/>
      <c r="I2" s="42"/>
      <c r="J2" s="42"/>
      <c r="K2" s="42"/>
      <c r="L2" s="41"/>
      <c r="M2" s="41"/>
      <c r="N2" s="41"/>
      <c r="O2" s="43"/>
      <c r="P2" s="43"/>
      <c r="Q2" s="43"/>
      <c r="R2" s="43"/>
      <c r="S2" s="43"/>
      <c r="T2" s="43"/>
      <c r="U2" s="43"/>
      <c r="V2" s="43"/>
      <c r="W2" s="43"/>
    </row>
    <row r="4" spans="2:23" s="1" customFormat="1" ht="30.75" customHeight="1" x14ac:dyDescent="0.3">
      <c r="B4" s="44" t="s">
        <v>100</v>
      </c>
      <c r="C4" s="44"/>
      <c r="E4" s="44" t="s">
        <v>101</v>
      </c>
      <c r="F4" s="45"/>
      <c r="G4" s="44"/>
      <c r="I4" s="26" t="s">
        <v>102</v>
      </c>
      <c r="J4" s="71"/>
      <c r="K4" s="71"/>
      <c r="L4" s="27"/>
      <c r="M4" s="3"/>
      <c r="O4" s="89" t="s">
        <v>103</v>
      </c>
      <c r="P4" s="89"/>
      <c r="Q4" s="28"/>
      <c r="R4" s="47"/>
      <c r="S4" s="48" t="s">
        <v>104</v>
      </c>
      <c r="T4" s="28"/>
      <c r="U4" s="28"/>
      <c r="V4" s="28"/>
      <c r="W4" s="28"/>
    </row>
    <row r="5" spans="2:23" s="1" customFormat="1" ht="43.2" x14ac:dyDescent="0.3">
      <c r="B5" s="19" t="s">
        <v>0</v>
      </c>
      <c r="C5" s="19" t="s">
        <v>1</v>
      </c>
      <c r="E5" s="19" t="s">
        <v>2</v>
      </c>
      <c r="F5" s="20" t="s">
        <v>3</v>
      </c>
      <c r="G5" s="19" t="s">
        <v>4</v>
      </c>
      <c r="I5" s="21" t="s">
        <v>5</v>
      </c>
      <c r="J5" s="21" t="s">
        <v>105</v>
      </c>
      <c r="K5" s="21" t="s">
        <v>106</v>
      </c>
      <c r="L5" s="22" t="s">
        <v>6</v>
      </c>
      <c r="M5" s="23" t="s">
        <v>107</v>
      </c>
      <c r="O5" s="24" t="s">
        <v>108</v>
      </c>
      <c r="P5" s="24" t="s">
        <v>109</v>
      </c>
      <c r="Q5" s="24" t="s">
        <v>68</v>
      </c>
      <c r="R5" s="49"/>
      <c r="S5" s="24" t="s">
        <v>69</v>
      </c>
      <c r="T5" s="24" t="s">
        <v>70</v>
      </c>
      <c r="U5" s="24" t="s">
        <v>71</v>
      </c>
      <c r="V5" s="24" t="s">
        <v>72</v>
      </c>
      <c r="W5" s="24" t="s">
        <v>73</v>
      </c>
    </row>
    <row r="6" spans="2:23" hidden="1" x14ac:dyDescent="0.3">
      <c r="B6" s="72" t="s">
        <v>110</v>
      </c>
      <c r="C6" s="73" t="s">
        <v>111</v>
      </c>
      <c r="E6" s="73" t="s">
        <v>112</v>
      </c>
      <c r="F6" s="74">
        <f>625.8*0.15*2.15</f>
        <v>201.82049999999998</v>
      </c>
      <c r="G6" s="75" t="s">
        <v>113</v>
      </c>
      <c r="I6" s="76">
        <f>0.000863</f>
        <v>8.6300000000000005E-4</v>
      </c>
      <c r="J6" s="74">
        <v>7.1199999999999996E-3</v>
      </c>
      <c r="K6" s="74">
        <v>0</v>
      </c>
      <c r="L6" s="73" t="s">
        <v>114</v>
      </c>
      <c r="M6" s="75" t="s">
        <v>115</v>
      </c>
      <c r="O6" s="77">
        <f t="shared" ref="O6:Q11" si="0">$F6*I6</f>
        <v>0.17417109149999999</v>
      </c>
      <c r="P6" s="77">
        <f t="shared" si="0"/>
        <v>1.4369619599999999</v>
      </c>
      <c r="Q6" s="77">
        <f t="shared" si="0"/>
        <v>0</v>
      </c>
      <c r="S6" s="77">
        <f t="shared" ref="S6:S11" si="1">F6*I6</f>
        <v>0.17417109149999999</v>
      </c>
      <c r="T6" s="77">
        <v>0</v>
      </c>
      <c r="U6" s="77">
        <v>0</v>
      </c>
      <c r="V6" s="77">
        <v>0</v>
      </c>
      <c r="W6" s="77"/>
    </row>
    <row r="7" spans="2:23" hidden="1" x14ac:dyDescent="0.3">
      <c r="B7" s="72" t="s">
        <v>110</v>
      </c>
      <c r="C7" s="73" t="s">
        <v>116</v>
      </c>
      <c r="E7" s="73" t="s">
        <v>117</v>
      </c>
      <c r="F7" s="74">
        <v>89.4</v>
      </c>
      <c r="G7" s="75" t="s">
        <v>76</v>
      </c>
      <c r="I7" s="76">
        <v>0.49870199999999998</v>
      </c>
      <c r="J7" s="74">
        <v>2.8504800000000001</v>
      </c>
      <c r="K7" s="74">
        <v>0</v>
      </c>
      <c r="L7" s="73" t="s">
        <v>114</v>
      </c>
      <c r="M7" s="75" t="s">
        <v>118</v>
      </c>
      <c r="O7" s="77">
        <f t="shared" si="0"/>
        <v>44.583958799999998</v>
      </c>
      <c r="P7" s="77">
        <f t="shared" si="0"/>
        <v>254.83291200000002</v>
      </c>
      <c r="Q7" s="77">
        <f t="shared" si="0"/>
        <v>0</v>
      </c>
      <c r="S7" s="77">
        <f t="shared" si="1"/>
        <v>44.583958799999998</v>
      </c>
      <c r="T7" s="77">
        <v>0</v>
      </c>
      <c r="U7" s="77">
        <v>0</v>
      </c>
      <c r="V7" s="77">
        <v>0</v>
      </c>
      <c r="W7" s="77"/>
    </row>
    <row r="8" spans="2:23" hidden="1" x14ac:dyDescent="0.3">
      <c r="B8" s="72" t="s">
        <v>110</v>
      </c>
      <c r="C8" s="73" t="s">
        <v>119</v>
      </c>
      <c r="E8" s="73" t="s">
        <v>120</v>
      </c>
      <c r="F8" s="74">
        <v>123.2</v>
      </c>
      <c r="G8" s="75" t="s">
        <v>88</v>
      </c>
      <c r="I8" s="76">
        <v>6.5420540000000003</v>
      </c>
      <c r="J8" s="74">
        <v>37.650480000000002</v>
      </c>
      <c r="K8" s="74">
        <f>0.000002/0.16</f>
        <v>1.2499999999999999E-5</v>
      </c>
      <c r="L8" s="73" t="s">
        <v>114</v>
      </c>
      <c r="M8" s="75" t="s">
        <v>118</v>
      </c>
      <c r="O8" s="77">
        <f t="shared" si="0"/>
        <v>805.98105280000004</v>
      </c>
      <c r="P8" s="77">
        <f t="shared" si="0"/>
        <v>4638.5391360000003</v>
      </c>
      <c r="Q8" s="77">
        <f t="shared" si="0"/>
        <v>1.5399999999999999E-3</v>
      </c>
      <c r="S8" s="77">
        <f t="shared" si="1"/>
        <v>805.98105280000004</v>
      </c>
      <c r="T8" s="77">
        <v>0</v>
      </c>
      <c r="U8" s="77">
        <v>0</v>
      </c>
      <c r="V8" s="77">
        <v>0</v>
      </c>
      <c r="W8" s="77"/>
    </row>
    <row r="9" spans="2:23" hidden="1" x14ac:dyDescent="0.3">
      <c r="B9" s="72" t="s">
        <v>110</v>
      </c>
      <c r="C9" s="73" t="s">
        <v>119</v>
      </c>
      <c r="E9" s="73" t="s">
        <v>121</v>
      </c>
      <c r="F9" s="74">
        <f>F8*137/1000</f>
        <v>16.878400000000003</v>
      </c>
      <c r="G9" s="75" t="s">
        <v>113</v>
      </c>
      <c r="I9" s="76">
        <v>9.2996479999999995</v>
      </c>
      <c r="J9" s="74">
        <v>-96.205039999999997</v>
      </c>
      <c r="K9" s="74">
        <f>-0.000016/0.16</f>
        <v>-9.9999999999999991E-5</v>
      </c>
      <c r="L9" s="73" t="s">
        <v>114</v>
      </c>
      <c r="M9" s="75" t="s">
        <v>118</v>
      </c>
      <c r="O9" s="77">
        <f t="shared" si="0"/>
        <v>156.96317880320001</v>
      </c>
      <c r="P9" s="77">
        <f t="shared" si="0"/>
        <v>-1623.7871471360002</v>
      </c>
      <c r="Q9" s="77">
        <f t="shared" si="0"/>
        <v>-1.6878400000000001E-3</v>
      </c>
      <c r="S9" s="77">
        <f t="shared" si="1"/>
        <v>156.96317880320001</v>
      </c>
      <c r="T9" s="77">
        <v>0</v>
      </c>
      <c r="U9" s="77">
        <v>0</v>
      </c>
      <c r="V9" s="77">
        <v>0</v>
      </c>
      <c r="W9" s="77"/>
    </row>
    <row r="10" spans="2:23" hidden="1" x14ac:dyDescent="0.3">
      <c r="B10" s="72" t="s">
        <v>110</v>
      </c>
      <c r="C10" s="73" t="s">
        <v>122</v>
      </c>
      <c r="E10" s="73" t="s">
        <v>123</v>
      </c>
      <c r="F10" s="74">
        <v>415</v>
      </c>
      <c r="G10" s="75" t="s">
        <v>88</v>
      </c>
      <c r="I10" s="76">
        <v>6.366015</v>
      </c>
      <c r="J10" s="74">
        <v>36.649160000000002</v>
      </c>
      <c r="K10" s="74">
        <f>0.000002/0.16</f>
        <v>1.2499999999999999E-5</v>
      </c>
      <c r="L10" s="73" t="s">
        <v>114</v>
      </c>
      <c r="M10" s="75" t="s">
        <v>118</v>
      </c>
      <c r="O10" s="77">
        <f t="shared" si="0"/>
        <v>2641.896225</v>
      </c>
      <c r="P10" s="77">
        <f t="shared" si="0"/>
        <v>15209.401400000001</v>
      </c>
      <c r="Q10" s="77">
        <f t="shared" si="0"/>
        <v>5.1874999999999994E-3</v>
      </c>
      <c r="S10" s="77">
        <f t="shared" si="1"/>
        <v>2641.896225</v>
      </c>
      <c r="T10" s="77">
        <v>0</v>
      </c>
      <c r="U10" s="77">
        <v>0</v>
      </c>
      <c r="V10" s="77">
        <v>0</v>
      </c>
      <c r="W10" s="77"/>
    </row>
    <row r="11" spans="2:23" hidden="1" x14ac:dyDescent="0.3">
      <c r="B11" s="72" t="s">
        <v>110</v>
      </c>
      <c r="C11" s="73" t="s">
        <v>122</v>
      </c>
      <c r="E11" s="73" t="s">
        <v>121</v>
      </c>
      <c r="F11" s="74">
        <f>F10*175/1000</f>
        <v>72.625</v>
      </c>
      <c r="G11" s="75" t="s">
        <v>113</v>
      </c>
      <c r="I11" s="76">
        <v>9.2996479999999995</v>
      </c>
      <c r="J11" s="74">
        <v>-96.205039999999997</v>
      </c>
      <c r="K11" s="74">
        <f>-0.000022/0.16</f>
        <v>-1.3749999999999998E-4</v>
      </c>
      <c r="L11" s="73" t="s">
        <v>114</v>
      </c>
      <c r="M11" s="75" t="s">
        <v>118</v>
      </c>
      <c r="O11" s="77">
        <f t="shared" si="0"/>
        <v>675.38693599999999</v>
      </c>
      <c r="P11" s="77">
        <f t="shared" si="0"/>
        <v>-6986.8910299999998</v>
      </c>
      <c r="Q11" s="77">
        <f t="shared" si="0"/>
        <v>-9.9859374999999983E-3</v>
      </c>
      <c r="S11" s="77">
        <f t="shared" si="1"/>
        <v>675.38693599999999</v>
      </c>
      <c r="T11" s="77">
        <v>0</v>
      </c>
      <c r="U11" s="77">
        <v>0</v>
      </c>
      <c r="V11" s="77">
        <v>0</v>
      </c>
      <c r="W11" s="77"/>
    </row>
    <row r="12" spans="2:23" hidden="1" x14ac:dyDescent="0.3">
      <c r="B12" s="72" t="s">
        <v>110</v>
      </c>
      <c r="C12" s="73"/>
      <c r="E12" s="73"/>
      <c r="F12" s="74"/>
      <c r="G12" s="75"/>
      <c r="I12" s="76"/>
      <c r="J12" s="74"/>
      <c r="K12" s="74"/>
      <c r="L12" s="73"/>
      <c r="M12" s="75"/>
      <c r="O12" s="77"/>
      <c r="P12" s="77"/>
      <c r="Q12" s="77">
        <f>$F12*K12</f>
        <v>0</v>
      </c>
      <c r="S12" s="77"/>
      <c r="T12" s="77"/>
      <c r="U12" s="77"/>
      <c r="V12" s="77"/>
      <c r="W12" s="77"/>
    </row>
    <row r="13" spans="2:23" hidden="1" x14ac:dyDescent="0.3">
      <c r="B13" s="72" t="s">
        <v>110</v>
      </c>
      <c r="C13" s="73" t="s">
        <v>124</v>
      </c>
      <c r="E13" s="73" t="s">
        <v>120</v>
      </c>
      <c r="F13" s="74">
        <v>128.73599999999999</v>
      </c>
      <c r="G13" s="75" t="s">
        <v>88</v>
      </c>
      <c r="I13" s="76">
        <v>6.5420540000000003</v>
      </c>
      <c r="J13" s="74">
        <v>37.650480000000002</v>
      </c>
      <c r="K13" s="74">
        <f>0.000002/0.16</f>
        <v>1.2499999999999999E-5</v>
      </c>
      <c r="L13" s="73" t="s">
        <v>114</v>
      </c>
      <c r="M13" s="75" t="s">
        <v>118</v>
      </c>
      <c r="O13" s="77">
        <f>$F13*I13</f>
        <v>842.19786374399996</v>
      </c>
      <c r="P13" s="77">
        <f>$F13*J13</f>
        <v>4846.9721932800003</v>
      </c>
      <c r="Q13" s="77">
        <f>$F13*K13</f>
        <v>1.6091999999999996E-3</v>
      </c>
      <c r="S13" s="77">
        <f>F13*I13</f>
        <v>842.19786374399996</v>
      </c>
      <c r="T13" s="77">
        <v>0</v>
      </c>
      <c r="U13" s="77">
        <v>0</v>
      </c>
      <c r="V13" s="77">
        <v>0</v>
      </c>
      <c r="W13" s="77"/>
    </row>
    <row r="14" spans="2:23" hidden="1" x14ac:dyDescent="0.3">
      <c r="B14" s="72" t="s">
        <v>110</v>
      </c>
      <c r="C14" s="73" t="s">
        <v>124</v>
      </c>
      <c r="E14" s="73" t="s">
        <v>121</v>
      </c>
      <c r="F14" s="74">
        <f>F13*130/1000</f>
        <v>16.735679999999999</v>
      </c>
      <c r="G14" s="75" t="s">
        <v>113</v>
      </c>
      <c r="I14" s="76">
        <v>9.2996479999999995</v>
      </c>
      <c r="J14" s="74">
        <v>-96.205039999999997</v>
      </c>
      <c r="K14" s="74">
        <f>-0.000016/0.16</f>
        <v>-9.9999999999999991E-5</v>
      </c>
      <c r="L14" s="73" t="s">
        <v>114</v>
      </c>
      <c r="M14" s="75" t="s">
        <v>118</v>
      </c>
      <c r="O14" s="77">
        <f>$F14*I14</f>
        <v>155.63593304063997</v>
      </c>
      <c r="P14" s="77">
        <f>$F14*J14</f>
        <v>-1610.0567638271998</v>
      </c>
      <c r="Q14" s="77">
        <f>$F14*K14</f>
        <v>-1.6735679999999996E-3</v>
      </c>
      <c r="S14" s="77">
        <f>F14*I14</f>
        <v>155.63593304063997</v>
      </c>
      <c r="T14" s="77">
        <v>0</v>
      </c>
      <c r="U14" s="77">
        <v>0</v>
      </c>
      <c r="V14" s="77">
        <v>0</v>
      </c>
      <c r="W14" s="77"/>
    </row>
    <row r="15" spans="2:23" hidden="1" x14ac:dyDescent="0.3">
      <c r="B15" s="72"/>
      <c r="C15" s="73"/>
      <c r="E15" s="73"/>
      <c r="F15" s="74"/>
      <c r="G15" s="75"/>
      <c r="I15" s="76"/>
      <c r="J15" s="74"/>
      <c r="K15" s="74"/>
      <c r="L15" s="73"/>
      <c r="M15" s="75"/>
      <c r="O15" s="77"/>
      <c r="P15" s="77"/>
      <c r="Q15" s="77"/>
      <c r="S15" s="77"/>
      <c r="T15" s="77"/>
      <c r="U15" s="77"/>
      <c r="V15" s="77"/>
      <c r="W15" s="77"/>
    </row>
    <row r="16" spans="2:23" x14ac:dyDescent="0.3">
      <c r="B16" s="6" t="s">
        <v>125</v>
      </c>
      <c r="C16" s="7" t="s">
        <v>126</v>
      </c>
      <c r="E16" s="6" t="s">
        <v>127</v>
      </c>
      <c r="F16" s="12">
        <v>415</v>
      </c>
      <c r="G16" s="7" t="s">
        <v>88</v>
      </c>
      <c r="I16" s="15">
        <f>26.104346*1.3</f>
        <v>33.9356498</v>
      </c>
      <c r="J16" s="12">
        <f>483.32454-36.64916</f>
        <v>446.67538000000002</v>
      </c>
      <c r="K16" s="12">
        <f>(0.000089-0.000002)/0.16</f>
        <v>5.4374999999999996E-4</v>
      </c>
      <c r="L16" s="78" t="s">
        <v>114</v>
      </c>
      <c r="M16" s="7" t="s">
        <v>118</v>
      </c>
      <c r="O16" s="53">
        <v>14083.294667</v>
      </c>
      <c r="P16" s="79">
        <v>185370.28270000001</v>
      </c>
      <c r="Q16" s="52">
        <v>0.22565624999999997</v>
      </c>
      <c r="R16" s="4"/>
      <c r="S16" s="53">
        <f>$F16*1.3*26.104346</f>
        <v>14083.294667</v>
      </c>
      <c r="T16" s="50">
        <v>0</v>
      </c>
      <c r="U16" s="50">
        <v>0</v>
      </c>
      <c r="V16" s="50">
        <v>0</v>
      </c>
      <c r="W16" s="54"/>
    </row>
    <row r="17" spans="2:23" x14ac:dyDescent="0.3">
      <c r="B17" s="8" t="s">
        <v>125</v>
      </c>
      <c r="C17" s="9" t="s">
        <v>126</v>
      </c>
      <c r="E17" s="8" t="s">
        <v>128</v>
      </c>
      <c r="F17" s="13">
        <f>F16*85/1000</f>
        <v>35.274999999999999</v>
      </c>
      <c r="G17" s="9" t="s">
        <v>113</v>
      </c>
      <c r="I17" s="16">
        <f>68.880311*1.3</f>
        <v>89.544404300000011</v>
      </c>
      <c r="J17" s="13">
        <f>1128.32894--96.20504</f>
        <v>1224.5339800000002</v>
      </c>
      <c r="K17" s="13">
        <f>(-0.000022--0.000022)/0.16</f>
        <v>0</v>
      </c>
      <c r="L17" s="80" t="s">
        <v>114</v>
      </c>
      <c r="M17" s="9" t="s">
        <v>118</v>
      </c>
      <c r="O17" s="18">
        <v>3158.6788616825002</v>
      </c>
      <c r="P17" s="81">
        <v>43195.436144500003</v>
      </c>
      <c r="Q17" s="55">
        <v>0</v>
      </c>
      <c r="R17" s="4"/>
      <c r="S17" s="18">
        <f>$F17*1.3*68.880311</f>
        <v>3158.6788616825006</v>
      </c>
      <c r="T17" s="56">
        <v>0</v>
      </c>
      <c r="U17" s="56">
        <v>0</v>
      </c>
      <c r="V17" s="56">
        <v>0</v>
      </c>
      <c r="W17" s="57"/>
    </row>
    <row r="18" spans="2:23" x14ac:dyDescent="0.3">
      <c r="B18" s="8" t="s">
        <v>125</v>
      </c>
      <c r="C18" s="9" t="s">
        <v>126</v>
      </c>
      <c r="E18" s="8" t="s">
        <v>128</v>
      </c>
      <c r="F18" s="13">
        <f>F16*90/1000</f>
        <v>37.35</v>
      </c>
      <c r="G18" s="9" t="s">
        <v>113</v>
      </c>
      <c r="I18" s="16">
        <f>68.880311*1.3</f>
        <v>89.544404300000011</v>
      </c>
      <c r="J18" s="13">
        <f>1128.32894--96.20504</f>
        <v>1224.5339800000002</v>
      </c>
      <c r="K18" s="13">
        <f>(-0.000022--0.000022)/0.16</f>
        <v>0</v>
      </c>
      <c r="L18" s="80" t="s">
        <v>114</v>
      </c>
      <c r="M18" s="9" t="s">
        <v>118</v>
      </c>
      <c r="O18" s="18">
        <v>3344.4835006050007</v>
      </c>
      <c r="P18" s="81">
        <v>45736.344153000005</v>
      </c>
      <c r="Q18" s="55">
        <v>0</v>
      </c>
      <c r="R18" s="4"/>
      <c r="S18" s="18">
        <f>$F18*1.3*68.880311</f>
        <v>3344.4835006050007</v>
      </c>
      <c r="T18" s="56">
        <v>0</v>
      </c>
      <c r="U18" s="56">
        <v>0</v>
      </c>
      <c r="V18" s="56">
        <v>0</v>
      </c>
      <c r="W18" s="57"/>
    </row>
    <row r="19" spans="2:23" x14ac:dyDescent="0.3">
      <c r="B19" s="8" t="s">
        <v>125</v>
      </c>
      <c r="C19" s="9" t="s">
        <v>129</v>
      </c>
      <c r="E19" s="8" t="s">
        <v>130</v>
      </c>
      <c r="F19" s="13">
        <v>28</v>
      </c>
      <c r="G19" s="9" t="s">
        <v>97</v>
      </c>
      <c r="I19" s="16">
        <v>15.93</v>
      </c>
      <c r="J19" s="13">
        <f>172</f>
        <v>172</v>
      </c>
      <c r="K19" s="13">
        <f>0.0000805</f>
        <v>8.0500000000000005E-5</v>
      </c>
      <c r="L19" s="80" t="s">
        <v>131</v>
      </c>
      <c r="M19" s="9" t="s">
        <v>118</v>
      </c>
      <c r="O19" s="18">
        <v>446.03999999999996</v>
      </c>
      <c r="P19" s="81">
        <v>4816</v>
      </c>
      <c r="Q19" s="55">
        <v>2.2539999999999999E-3</v>
      </c>
      <c r="R19" s="4"/>
      <c r="S19" s="18">
        <v>0</v>
      </c>
      <c r="T19" s="56">
        <f>F19*I19</f>
        <v>446.03999999999996</v>
      </c>
      <c r="U19" s="56">
        <v>0</v>
      </c>
      <c r="V19" s="56">
        <v>0</v>
      </c>
      <c r="W19" s="57"/>
    </row>
    <row r="20" spans="2:23" x14ac:dyDescent="0.3">
      <c r="B20" s="8" t="s">
        <v>125</v>
      </c>
      <c r="C20" s="9" t="s">
        <v>129</v>
      </c>
      <c r="E20" s="8" t="s">
        <v>132</v>
      </c>
      <c r="F20" s="13">
        <f>20*32*50</f>
        <v>32000</v>
      </c>
      <c r="G20" s="9" t="s">
        <v>133</v>
      </c>
      <c r="I20" s="16">
        <v>8.9999999999999993E-3</v>
      </c>
      <c r="J20" s="13">
        <f>0.0861</f>
        <v>8.6099999999999996E-2</v>
      </c>
      <c r="K20" s="13">
        <f>0.000000167</f>
        <v>1.67E-7</v>
      </c>
      <c r="L20" s="80" t="s">
        <v>131</v>
      </c>
      <c r="M20" s="9" t="s">
        <v>118</v>
      </c>
      <c r="O20" s="18">
        <v>288</v>
      </c>
      <c r="P20" s="81">
        <v>2755.2</v>
      </c>
      <c r="Q20" s="55">
        <v>5.3439999999999998E-3</v>
      </c>
      <c r="R20" s="4"/>
      <c r="S20" s="18">
        <v>0</v>
      </c>
      <c r="T20" s="56">
        <f>F20*I20</f>
        <v>288</v>
      </c>
      <c r="U20" s="56">
        <v>0</v>
      </c>
      <c r="V20" s="56">
        <v>0</v>
      </c>
      <c r="W20" s="57"/>
    </row>
    <row r="21" spans="2:23" x14ac:dyDescent="0.3">
      <c r="B21" s="8" t="s">
        <v>125</v>
      </c>
      <c r="C21" s="9" t="s">
        <v>129</v>
      </c>
      <c r="E21" s="8" t="s">
        <v>130</v>
      </c>
      <c r="F21" s="13">
        <v>28</v>
      </c>
      <c r="G21" s="9" t="s">
        <v>97</v>
      </c>
      <c r="I21" s="16">
        <v>15.93</v>
      </c>
      <c r="J21" s="13">
        <f>172</f>
        <v>172</v>
      </c>
      <c r="K21" s="13">
        <f>0.0000805</f>
        <v>8.0500000000000005E-5</v>
      </c>
      <c r="L21" s="80" t="s">
        <v>131</v>
      </c>
      <c r="M21" s="9" t="s">
        <v>118</v>
      </c>
      <c r="O21" s="18">
        <v>446.03999999999996</v>
      </c>
      <c r="P21" s="81">
        <v>4816</v>
      </c>
      <c r="Q21" s="55">
        <v>2.2539999999999999E-3</v>
      </c>
      <c r="R21" s="4"/>
      <c r="S21" s="18">
        <v>0</v>
      </c>
      <c r="T21" s="56">
        <f>F21*I21</f>
        <v>446.03999999999996</v>
      </c>
      <c r="U21" s="56">
        <v>0</v>
      </c>
      <c r="V21" s="56">
        <v>0</v>
      </c>
      <c r="W21" s="57"/>
    </row>
    <row r="22" spans="2:23" x14ac:dyDescent="0.3">
      <c r="B22" s="8" t="s">
        <v>125</v>
      </c>
      <c r="C22" s="9" t="s">
        <v>134</v>
      </c>
      <c r="E22" s="8" t="s">
        <v>127</v>
      </c>
      <c r="F22" s="13">
        <v>415</v>
      </c>
      <c r="G22" s="9" t="s">
        <v>88</v>
      </c>
      <c r="I22" s="16">
        <f>6.366015*1.3</f>
        <v>8.2758195000000008</v>
      </c>
      <c r="J22" s="13">
        <v>36.649160000000002</v>
      </c>
      <c r="K22" s="13">
        <v>1.2499999999999999E-5</v>
      </c>
      <c r="L22" s="80" t="s">
        <v>114</v>
      </c>
      <c r="M22" s="9" t="s">
        <v>118</v>
      </c>
      <c r="O22" s="18">
        <v>3434.4650925000005</v>
      </c>
      <c r="P22" s="81">
        <v>15209.401400000001</v>
      </c>
      <c r="Q22" s="55">
        <v>5.1874999999999994E-3</v>
      </c>
      <c r="R22" s="4"/>
      <c r="S22" s="18">
        <v>0</v>
      </c>
      <c r="T22" s="56">
        <v>0</v>
      </c>
      <c r="U22" s="56">
        <v>0</v>
      </c>
      <c r="V22" s="56">
        <f>$F22*1.3*6.366015</f>
        <v>3434.4650925000001</v>
      </c>
      <c r="W22" s="57"/>
    </row>
    <row r="23" spans="2:23" x14ac:dyDescent="0.3">
      <c r="B23" s="8" t="s">
        <v>125</v>
      </c>
      <c r="C23" s="9" t="s">
        <v>134</v>
      </c>
      <c r="E23" s="8" t="s">
        <v>128</v>
      </c>
      <c r="F23" s="13">
        <f>F22*85/1000</f>
        <v>35.274999999999999</v>
      </c>
      <c r="G23" s="9" t="s">
        <v>113</v>
      </c>
      <c r="I23" s="16">
        <f>9.299648*1.3</f>
        <v>12.089542399999999</v>
      </c>
      <c r="J23" s="13">
        <v>-96.205039999999997</v>
      </c>
      <c r="K23" s="13">
        <v>-1.3749999999999998E-4</v>
      </c>
      <c r="L23" s="80" t="s">
        <v>114</v>
      </c>
      <c r="M23" s="9" t="s">
        <v>118</v>
      </c>
      <c r="O23" s="18">
        <v>426.45860815999993</v>
      </c>
      <c r="P23" s="81">
        <v>-3393.6327859999997</v>
      </c>
      <c r="Q23" s="55">
        <v>-4.8503124999999987E-3</v>
      </c>
      <c r="R23" s="4"/>
      <c r="S23" s="18">
        <v>0</v>
      </c>
      <c r="T23" s="56">
        <v>0</v>
      </c>
      <c r="U23" s="56">
        <v>0</v>
      </c>
      <c r="V23" s="56">
        <f>$F23*1.3*9.299648</f>
        <v>426.45860815999998</v>
      </c>
      <c r="W23" s="57"/>
    </row>
    <row r="24" spans="2:23" x14ac:dyDescent="0.3">
      <c r="B24" s="8" t="s">
        <v>125</v>
      </c>
      <c r="C24" s="9" t="s">
        <v>134</v>
      </c>
      <c r="E24" s="8" t="s">
        <v>128</v>
      </c>
      <c r="F24" s="13">
        <f>F22*90/1000</f>
        <v>37.35</v>
      </c>
      <c r="G24" s="9" t="s">
        <v>113</v>
      </c>
      <c r="I24" s="16">
        <f>9.299648*1.3</f>
        <v>12.089542399999999</v>
      </c>
      <c r="J24" s="13">
        <v>-96.205039999999997</v>
      </c>
      <c r="K24" s="13">
        <v>-1.3749999999999998E-4</v>
      </c>
      <c r="L24" s="80" t="s">
        <v>114</v>
      </c>
      <c r="M24" s="9" t="s">
        <v>118</v>
      </c>
      <c r="O24" s="18">
        <v>451.54440863999997</v>
      </c>
      <c r="P24" s="81">
        <v>-3593.2582440000001</v>
      </c>
      <c r="Q24" s="55">
        <v>-5.1356249999999996E-3</v>
      </c>
      <c r="R24" s="4"/>
      <c r="S24" s="18">
        <v>0</v>
      </c>
      <c r="T24" s="56">
        <v>0</v>
      </c>
      <c r="U24" s="56">
        <v>0</v>
      </c>
      <c r="V24" s="56">
        <f>$F24*1.3*9.299648</f>
        <v>451.54440864000003</v>
      </c>
      <c r="W24" s="57"/>
    </row>
    <row r="25" spans="2:23" x14ac:dyDescent="0.3">
      <c r="B25" s="8" t="s">
        <v>125</v>
      </c>
      <c r="C25" s="9" t="s">
        <v>135</v>
      </c>
      <c r="E25" s="8" t="s">
        <v>127</v>
      </c>
      <c r="F25" s="13">
        <v>126</v>
      </c>
      <c r="G25" s="9" t="s">
        <v>88</v>
      </c>
      <c r="I25" s="16">
        <f>44.999016</f>
        <v>44.999015999999997</v>
      </c>
      <c r="J25" s="13">
        <v>483.32454000000001</v>
      </c>
      <c r="K25" s="13">
        <f>0.000089/0.16</f>
        <v>5.5625E-4</v>
      </c>
      <c r="L25" s="80" t="s">
        <v>114</v>
      </c>
      <c r="M25" s="9" t="s">
        <v>118</v>
      </c>
      <c r="O25" s="18">
        <v>5669.8760159999993</v>
      </c>
      <c r="P25" s="81">
        <v>60898.892039999999</v>
      </c>
      <c r="Q25" s="55">
        <v>7.0087499999999997E-2</v>
      </c>
      <c r="R25" s="4"/>
      <c r="S25" s="18">
        <f>$F25*1.3*26.104346</f>
        <v>4275.8918748000006</v>
      </c>
      <c r="T25" s="56">
        <f>$F25*1.3*(28.248613-26.104346)</f>
        <v>351.2309345999999</v>
      </c>
      <c r="U25" s="56">
        <v>0</v>
      </c>
      <c r="V25" s="56">
        <f>$F25*1.3*6.366015</f>
        <v>1042.7532570000001</v>
      </c>
      <c r="W25" s="57"/>
    </row>
    <row r="26" spans="2:23" x14ac:dyDescent="0.3">
      <c r="B26" s="8" t="s">
        <v>125</v>
      </c>
      <c r="C26" s="9" t="s">
        <v>135</v>
      </c>
      <c r="E26" s="8" t="s">
        <v>128</v>
      </c>
      <c r="F26" s="13">
        <f>F25*95/1000</f>
        <v>11.97</v>
      </c>
      <c r="G26" s="9" t="s">
        <v>113</v>
      </c>
      <c r="I26" s="16">
        <f>106.238262</f>
        <v>106.23826200000001</v>
      </c>
      <c r="J26" s="13">
        <v>1128.3289400000001</v>
      </c>
      <c r="K26" s="13">
        <f>-0.000022/0.16</f>
        <v>-1.3749999999999998E-4</v>
      </c>
      <c r="L26" s="80" t="s">
        <v>114</v>
      </c>
      <c r="M26" s="9" t="s">
        <v>118</v>
      </c>
      <c r="O26" s="18">
        <v>1271.6719961400001</v>
      </c>
      <c r="P26" s="81">
        <v>13506.097411800001</v>
      </c>
      <c r="Q26" s="55">
        <v>-1.6458749999999998E-3</v>
      </c>
      <c r="R26" s="4"/>
      <c r="S26" s="18">
        <f>$F26*1.3*68.880311</f>
        <v>1071.8465194710002</v>
      </c>
      <c r="T26" s="56">
        <f>$F26*1.3*(72.422093-68.880311)</f>
        <v>55.113669701999974</v>
      </c>
      <c r="U26" s="56">
        <v>0</v>
      </c>
      <c r="V26" s="56">
        <f>$F26*1.3*9.299648</f>
        <v>144.711822528</v>
      </c>
      <c r="W26" s="57"/>
    </row>
    <row r="27" spans="2:23" x14ac:dyDescent="0.3">
      <c r="B27" s="8" t="s">
        <v>125</v>
      </c>
      <c r="C27" s="9" t="s">
        <v>135</v>
      </c>
      <c r="E27" s="8" t="s">
        <v>128</v>
      </c>
      <c r="F27" s="13">
        <f>F25*90/1000</f>
        <v>11.34</v>
      </c>
      <c r="G27" s="9" t="s">
        <v>113</v>
      </c>
      <c r="I27" s="16">
        <f>106.238262</f>
        <v>106.23826200000001</v>
      </c>
      <c r="J27" s="13">
        <v>1128.3289400000001</v>
      </c>
      <c r="K27" s="13">
        <f>-0.000022/0.16</f>
        <v>-1.3749999999999998E-4</v>
      </c>
      <c r="L27" s="80" t="s">
        <v>114</v>
      </c>
      <c r="M27" s="9" t="s">
        <v>118</v>
      </c>
      <c r="O27" s="18">
        <v>1204.74189108</v>
      </c>
      <c r="P27" s="81">
        <v>12795.250179600002</v>
      </c>
      <c r="Q27" s="55">
        <v>-1.5592499999999999E-3</v>
      </c>
      <c r="R27" s="4"/>
      <c r="S27" s="18">
        <f>$F27*1.3*68.880311</f>
        <v>1015.4335447620001</v>
      </c>
      <c r="T27" s="56">
        <f>$F27*1.3*(72.422093-68.880311)</f>
        <v>52.21295024399997</v>
      </c>
      <c r="U27" s="56">
        <v>0</v>
      </c>
      <c r="V27" s="56">
        <f>$F27*1.3*9.299648</f>
        <v>137.095410816</v>
      </c>
      <c r="W27" s="57"/>
    </row>
    <row r="28" spans="2:23" x14ac:dyDescent="0.3">
      <c r="B28" s="8" t="s">
        <v>125</v>
      </c>
      <c r="C28" s="9" t="s">
        <v>136</v>
      </c>
      <c r="E28" s="8" t="s">
        <v>137</v>
      </c>
      <c r="F28" s="13">
        <v>37</v>
      </c>
      <c r="G28" s="9" t="s">
        <v>88</v>
      </c>
      <c r="I28" s="16">
        <f>28.479294</f>
        <v>28.479293999999999</v>
      </c>
      <c r="J28" s="13">
        <v>262.47206</v>
      </c>
      <c r="K28" s="13">
        <f>0.000071/0.16</f>
        <v>4.4375000000000003E-4</v>
      </c>
      <c r="L28" s="80" t="s">
        <v>114</v>
      </c>
      <c r="M28" s="9" t="s">
        <v>118</v>
      </c>
      <c r="O28" s="18">
        <v>1053.733878</v>
      </c>
      <c r="P28" s="81">
        <v>9711.4662200000002</v>
      </c>
      <c r="Q28" s="55">
        <v>1.6418749999999999E-2</v>
      </c>
      <c r="R28" s="4"/>
      <c r="S28" s="18">
        <f>$F28*1.3*13.415026</f>
        <v>645.2627506</v>
      </c>
      <c r="T28" s="56">
        <f>$F28*1.3*(15.365095-13.415026)</f>
        <v>93.798318900000055</v>
      </c>
      <c r="U28" s="56">
        <v>0</v>
      </c>
      <c r="V28" s="56">
        <f>$F28*1.3*6.542054</f>
        <v>314.67279740000004</v>
      </c>
      <c r="W28" s="57"/>
    </row>
    <row r="29" spans="2:23" x14ac:dyDescent="0.3">
      <c r="B29" s="8" t="s">
        <v>125</v>
      </c>
      <c r="C29" s="9" t="s">
        <v>136</v>
      </c>
      <c r="E29" s="8" t="s">
        <v>128</v>
      </c>
      <c r="F29" s="13">
        <f>F28*140/1000</f>
        <v>5.18</v>
      </c>
      <c r="G29" s="9" t="s">
        <v>113</v>
      </c>
      <c r="I29" s="16">
        <f>106.238262</f>
        <v>106.23826200000001</v>
      </c>
      <c r="J29" s="13">
        <v>1128.3289400000001</v>
      </c>
      <c r="K29" s="13">
        <f>-0.000022/0.16</f>
        <v>-1.3749999999999998E-4</v>
      </c>
      <c r="L29" s="80" t="s">
        <v>114</v>
      </c>
      <c r="M29" s="9" t="s">
        <v>118</v>
      </c>
      <c r="O29" s="18">
        <v>550.31419716000005</v>
      </c>
      <c r="P29" s="81">
        <v>5844.7439092000004</v>
      </c>
      <c r="Q29" s="55">
        <v>-7.1224999999999988E-4</v>
      </c>
      <c r="R29" s="4"/>
      <c r="S29" s="18">
        <f>$F29*1.3*68.880311</f>
        <v>463.84001427400005</v>
      </c>
      <c r="T29" s="56">
        <f>$F29*1.3*(72.422093-68.880311)</f>
        <v>23.850359987999983</v>
      </c>
      <c r="U29" s="56">
        <v>0</v>
      </c>
      <c r="V29" s="56">
        <f>$F29*1.3*9.299648</f>
        <v>62.623829631999996</v>
      </c>
      <c r="W29" s="57"/>
    </row>
    <row r="30" spans="2:23" x14ac:dyDescent="0.3">
      <c r="B30" s="8" t="s">
        <v>125</v>
      </c>
      <c r="C30" s="9" t="s">
        <v>138</v>
      </c>
      <c r="E30" s="8" t="s">
        <v>137</v>
      </c>
      <c r="F30" s="13">
        <f>1050*0.25</f>
        <v>262.5</v>
      </c>
      <c r="G30" s="9" t="s">
        <v>88</v>
      </c>
      <c r="I30" s="16">
        <f>28.479294</f>
        <v>28.479293999999999</v>
      </c>
      <c r="J30" s="13">
        <v>262.47206</v>
      </c>
      <c r="K30" s="13">
        <f>0.000071/0.16</f>
        <v>4.4375000000000003E-4</v>
      </c>
      <c r="L30" s="80" t="s">
        <v>114</v>
      </c>
      <c r="M30" s="9" t="s">
        <v>118</v>
      </c>
      <c r="O30" s="18">
        <v>7475.8146749999996</v>
      </c>
      <c r="P30" s="81">
        <v>68898.91575</v>
      </c>
      <c r="Q30" s="55">
        <v>0.116484375</v>
      </c>
      <c r="R30" s="4"/>
      <c r="S30" s="18">
        <f>$F30*1.3*13.415026</f>
        <v>4577.8776225000001</v>
      </c>
      <c r="T30" s="56">
        <f>$F30*1.3*(15.365095-13.415026)</f>
        <v>665.46104625000032</v>
      </c>
      <c r="U30" s="56">
        <v>0</v>
      </c>
      <c r="V30" s="56">
        <f>$F30*1.3*6.542054</f>
        <v>2232.4759275000001</v>
      </c>
      <c r="W30" s="57"/>
    </row>
    <row r="31" spans="2:23" x14ac:dyDescent="0.3">
      <c r="B31" s="8" t="s">
        <v>125</v>
      </c>
      <c r="C31" s="9" t="s">
        <v>138</v>
      </c>
      <c r="E31" s="8" t="s">
        <v>128</v>
      </c>
      <c r="F31" s="13">
        <f>F30*130/1000</f>
        <v>34.125</v>
      </c>
      <c r="G31" s="9" t="s">
        <v>113</v>
      </c>
      <c r="I31" s="16">
        <f>106.238262</f>
        <v>106.23826200000001</v>
      </c>
      <c r="J31" s="13">
        <v>1128.3289400000001</v>
      </c>
      <c r="K31" s="13">
        <f>-0.000022/0.16</f>
        <v>-1.3749999999999998E-4</v>
      </c>
      <c r="L31" s="80" t="s">
        <v>114</v>
      </c>
      <c r="M31" s="9" t="s">
        <v>118</v>
      </c>
      <c r="O31" s="18">
        <v>3625.3806907500002</v>
      </c>
      <c r="P31" s="81">
        <v>38504.225077500007</v>
      </c>
      <c r="Q31" s="55">
        <v>-4.6921874999999993E-3</v>
      </c>
      <c r="R31" s="4"/>
      <c r="S31" s="18">
        <f>$F31*1.3*68.880311</f>
        <v>3055.7027967375006</v>
      </c>
      <c r="T31" s="56">
        <f>$F31*1.3*(72.422093-68.880311)</f>
        <v>157.12230397499991</v>
      </c>
      <c r="U31" s="56">
        <v>0</v>
      </c>
      <c r="V31" s="56">
        <f>$F31*1.3*9.299648</f>
        <v>412.55563440000003</v>
      </c>
      <c r="W31" s="57"/>
    </row>
    <row r="32" spans="2:23" x14ac:dyDescent="0.3">
      <c r="B32" s="8" t="s">
        <v>139</v>
      </c>
      <c r="C32" s="9" t="s">
        <v>140</v>
      </c>
      <c r="E32" s="8" t="s">
        <v>141</v>
      </c>
      <c r="F32" s="13">
        <v>68</v>
      </c>
      <c r="G32" s="9" t="s">
        <v>88</v>
      </c>
      <c r="I32" s="16">
        <f>35.174164</f>
        <v>35.174163999999998</v>
      </c>
      <c r="J32" s="13">
        <v>352.06781999999998</v>
      </c>
      <c r="K32" s="13">
        <f>0.000077/0.16</f>
        <v>4.8125000000000002E-4</v>
      </c>
      <c r="L32" s="80" t="s">
        <v>114</v>
      </c>
      <c r="M32" s="9" t="s">
        <v>118</v>
      </c>
      <c r="O32" s="18">
        <v>762.22413387999995</v>
      </c>
      <c r="P32" s="81">
        <v>7629.3096593999999</v>
      </c>
      <c r="Q32" s="55">
        <v>1.04286875E-2</v>
      </c>
      <c r="R32" s="4"/>
      <c r="S32" s="18">
        <f>$F32*1.3*18.56679</f>
        <v>1641.3042360000002</v>
      </c>
      <c r="T32" s="56">
        <f>$F32*1.3*(20.699453-18.56679)</f>
        <v>188.52740919999977</v>
      </c>
      <c r="U32" s="56">
        <v>0</v>
      </c>
      <c r="V32" s="56">
        <f>$F32*1.3*6.357596</f>
        <v>562.01148640000008</v>
      </c>
      <c r="W32" s="57"/>
    </row>
    <row r="33" spans="2:23" x14ac:dyDescent="0.3">
      <c r="B33" s="8" t="s">
        <v>139</v>
      </c>
      <c r="C33" s="9" t="s">
        <v>140</v>
      </c>
      <c r="E33" s="8" t="s">
        <v>128</v>
      </c>
      <c r="F33" s="13">
        <f>F32*50/1000</f>
        <v>3.4</v>
      </c>
      <c r="G33" s="9" t="s">
        <v>113</v>
      </c>
      <c r="I33" s="16">
        <f>106.238262</f>
        <v>106.23826200000001</v>
      </c>
      <c r="J33" s="13">
        <v>1128.3289400000001</v>
      </c>
      <c r="K33" s="13">
        <f>-0.000022/0.16</f>
        <v>-1.3749999999999998E-4</v>
      </c>
      <c r="L33" s="80" t="s">
        <v>114</v>
      </c>
      <c r="M33" s="9" t="s">
        <v>118</v>
      </c>
      <c r="O33" s="18">
        <v>4355.7687420000002</v>
      </c>
      <c r="P33" s="81">
        <v>46261.486540000005</v>
      </c>
      <c r="Q33" s="55">
        <v>-5.6374999999999993E-3</v>
      </c>
      <c r="R33" s="4"/>
      <c r="S33" s="18">
        <f>$F33*1.3*68.880311</f>
        <v>304.45097462000001</v>
      </c>
      <c r="T33" s="56">
        <f>$F33*1.3*(72.422093-68.880311)</f>
        <v>15.65467643999999</v>
      </c>
      <c r="U33" s="56">
        <v>0</v>
      </c>
      <c r="V33" s="56">
        <f>$F33*1.3*9.299648</f>
        <v>41.10444416</v>
      </c>
      <c r="W33" s="57"/>
    </row>
    <row r="34" spans="2:23" x14ac:dyDescent="0.3">
      <c r="B34" s="8" t="s">
        <v>139</v>
      </c>
      <c r="C34" s="9" t="s">
        <v>140</v>
      </c>
      <c r="E34" s="8" t="s">
        <v>128</v>
      </c>
      <c r="F34" s="13">
        <f>F32*30/1000</f>
        <v>2.04</v>
      </c>
      <c r="G34" s="9" t="s">
        <v>113</v>
      </c>
      <c r="I34" s="16">
        <f>106.238262</f>
        <v>106.23826200000001</v>
      </c>
      <c r="J34" s="13">
        <v>1128.3289400000001</v>
      </c>
      <c r="K34" s="13">
        <f>-0.000022/0.16</f>
        <v>-1.3749999999999998E-4</v>
      </c>
      <c r="L34" s="80" t="s">
        <v>114</v>
      </c>
      <c r="M34" s="9" t="s">
        <v>118</v>
      </c>
      <c r="O34" s="18">
        <v>0</v>
      </c>
      <c r="P34" s="81">
        <v>0</v>
      </c>
      <c r="Q34" s="55">
        <v>0</v>
      </c>
      <c r="R34" s="4"/>
      <c r="S34" s="18">
        <f>$F34*1.3*68.880311</f>
        <v>182.67058477200001</v>
      </c>
      <c r="T34" s="56">
        <f>$F34*1.3*(72.422093-68.880311)</f>
        <v>9.3928058639999943</v>
      </c>
      <c r="U34" s="56">
        <v>0</v>
      </c>
      <c r="V34" s="56">
        <f>$F34*1.3*9.299648</f>
        <v>24.662666496</v>
      </c>
      <c r="W34" s="57"/>
    </row>
    <row r="35" spans="2:23" x14ac:dyDescent="0.3">
      <c r="B35" s="8" t="s">
        <v>139</v>
      </c>
      <c r="C35" s="9" t="s">
        <v>142</v>
      </c>
      <c r="E35" s="8" t="s">
        <v>143</v>
      </c>
      <c r="F35" s="13">
        <v>68</v>
      </c>
      <c r="G35" s="9" t="s">
        <v>88</v>
      </c>
      <c r="I35" s="16">
        <v>27.922739</v>
      </c>
      <c r="J35" s="13">
        <v>262.47206</v>
      </c>
      <c r="K35" s="13">
        <f>0.000071/0.16</f>
        <v>4.4375000000000003E-4</v>
      </c>
      <c r="L35" s="80" t="s">
        <v>114</v>
      </c>
      <c r="M35" s="9" t="s">
        <v>118</v>
      </c>
      <c r="O35" s="18">
        <v>1898.7462519999999</v>
      </c>
      <c r="P35" s="81">
        <v>17848.10008</v>
      </c>
      <c r="Q35" s="55">
        <v>3.0175E-2</v>
      </c>
      <c r="R35" s="4"/>
      <c r="S35" s="18">
        <f>$F35*1.3*68.880311</f>
        <v>6089.0194924000007</v>
      </c>
      <c r="T35" s="56">
        <f>$F35*1.3*(72.422093-68.880311)</f>
        <v>313.09352879999983</v>
      </c>
      <c r="U35" s="56">
        <v>0</v>
      </c>
      <c r="V35" s="56">
        <f>$F35*1.3*9.299648</f>
        <v>822.08888320000005</v>
      </c>
      <c r="W35" s="57"/>
    </row>
    <row r="36" spans="2:23" x14ac:dyDescent="0.3">
      <c r="B36" s="8" t="s">
        <v>139</v>
      </c>
      <c r="C36" s="9" t="s">
        <v>142</v>
      </c>
      <c r="E36" s="8" t="s">
        <v>128</v>
      </c>
      <c r="F36" s="13">
        <f>F35*200/1000</f>
        <v>13.6</v>
      </c>
      <c r="G36" s="9" t="s">
        <v>113</v>
      </c>
      <c r="I36" s="16">
        <f>106.238262</f>
        <v>106.23826200000001</v>
      </c>
      <c r="J36" s="13">
        <v>1128.3289400000001</v>
      </c>
      <c r="K36" s="13">
        <f>-0.000022/0.16</f>
        <v>-1.3749999999999998E-4</v>
      </c>
      <c r="L36" s="80" t="s">
        <v>114</v>
      </c>
      <c r="M36" s="9" t="s">
        <v>118</v>
      </c>
      <c r="O36" s="18">
        <v>1444.8403632</v>
      </c>
      <c r="P36" s="81">
        <v>15345.273584</v>
      </c>
      <c r="Q36" s="55">
        <v>-1.8699999999999997E-3</v>
      </c>
      <c r="R36" s="4"/>
      <c r="S36" s="18">
        <f>$F36*1.3*68.880311</f>
        <v>1217.80389848</v>
      </c>
      <c r="T36" s="56">
        <f>$F36*1.3*(72.422093-68.880311)</f>
        <v>62.618705759999962</v>
      </c>
      <c r="U36" s="56">
        <v>0</v>
      </c>
      <c r="V36" s="56">
        <f>$F36*1.3*9.299648</f>
        <v>164.41777664</v>
      </c>
      <c r="W36" s="57"/>
    </row>
    <row r="37" spans="2:23" x14ac:dyDescent="0.3">
      <c r="B37" s="8" t="s">
        <v>139</v>
      </c>
      <c r="C37" s="9" t="s">
        <v>144</v>
      </c>
      <c r="E37" s="8" t="s">
        <v>137</v>
      </c>
      <c r="F37" s="13">
        <v>16</v>
      </c>
      <c r="G37" s="9" t="s">
        <v>88</v>
      </c>
      <c r="I37" s="16">
        <f>28.479294</f>
        <v>28.479293999999999</v>
      </c>
      <c r="J37" s="13">
        <v>262.47206</v>
      </c>
      <c r="K37" s="13">
        <f>0.000071/0.16</f>
        <v>4.4375000000000003E-4</v>
      </c>
      <c r="L37" s="80" t="s">
        <v>114</v>
      </c>
      <c r="M37" s="9" t="s">
        <v>118</v>
      </c>
      <c r="O37" s="18">
        <v>455.66870399999999</v>
      </c>
      <c r="P37" s="81">
        <v>4199.55296</v>
      </c>
      <c r="Q37" s="55">
        <v>7.1000000000000004E-3</v>
      </c>
      <c r="R37" s="4"/>
      <c r="S37" s="18">
        <f>$F37*1.3*13.415026</f>
        <v>279.03254079999999</v>
      </c>
      <c r="T37" s="56">
        <f>$F37*1.3*(15.365095-13.415026)</f>
        <v>40.56143520000002</v>
      </c>
      <c r="U37" s="56">
        <v>0</v>
      </c>
      <c r="V37" s="56">
        <f>$F37*1.3*6.542054</f>
        <v>136.07472320000002</v>
      </c>
      <c r="W37" s="57"/>
    </row>
    <row r="38" spans="2:23" x14ac:dyDescent="0.3">
      <c r="B38" s="8" t="s">
        <v>139</v>
      </c>
      <c r="C38" s="9" t="s">
        <v>144</v>
      </c>
      <c r="E38" s="8" t="s">
        <v>128</v>
      </c>
      <c r="F38" s="13">
        <f>F37*150/1000</f>
        <v>2.4</v>
      </c>
      <c r="G38" s="9" t="s">
        <v>113</v>
      </c>
      <c r="I38" s="16">
        <f>106.238262</f>
        <v>106.23826200000001</v>
      </c>
      <c r="J38" s="13">
        <v>1128.3289400000001</v>
      </c>
      <c r="K38" s="13">
        <f>-0.000022/0.16</f>
        <v>-1.3749999999999998E-4</v>
      </c>
      <c r="L38" s="80" t="s">
        <v>114</v>
      </c>
      <c r="M38" s="9" t="s">
        <v>118</v>
      </c>
      <c r="O38" s="18">
        <v>254.9718288</v>
      </c>
      <c r="P38" s="81">
        <v>2707.9894560000002</v>
      </c>
      <c r="Q38" s="55">
        <v>-3.2999999999999994E-4</v>
      </c>
      <c r="R38" s="4"/>
      <c r="S38" s="18">
        <f>$F38*1.3*68.880311</f>
        <v>214.90657032000001</v>
      </c>
      <c r="T38" s="56">
        <f>$F38*1.3*(72.422093-68.880311)</f>
        <v>11.050359839999993</v>
      </c>
      <c r="U38" s="56">
        <v>0</v>
      </c>
      <c r="V38" s="56">
        <f>$F38*1.3*9.299648</f>
        <v>29.014901760000001</v>
      </c>
      <c r="W38" s="57"/>
    </row>
    <row r="39" spans="2:23" x14ac:dyDescent="0.3">
      <c r="B39" s="8" t="s">
        <v>139</v>
      </c>
      <c r="C39" s="9" t="s">
        <v>145</v>
      </c>
      <c r="E39" s="8" t="s">
        <v>137</v>
      </c>
      <c r="F39" s="13">
        <v>18.2</v>
      </c>
      <c r="G39" s="9" t="s">
        <v>88</v>
      </c>
      <c r="I39" s="16">
        <f>28.479294</f>
        <v>28.479293999999999</v>
      </c>
      <c r="J39" s="13">
        <v>262.47206</v>
      </c>
      <c r="K39" s="13">
        <f>0.000071/0.16</f>
        <v>4.4375000000000003E-4</v>
      </c>
      <c r="L39" s="80" t="s">
        <v>114</v>
      </c>
      <c r="M39" s="9" t="s">
        <v>118</v>
      </c>
      <c r="O39" s="18">
        <v>518.32315080000001</v>
      </c>
      <c r="P39" s="81">
        <v>4776.9914920000001</v>
      </c>
      <c r="Q39" s="55">
        <v>8.0762500000000001E-3</v>
      </c>
      <c r="R39" s="4"/>
      <c r="S39" s="18">
        <f>$F39*1.3*13.415026</f>
        <v>317.39951515999996</v>
      </c>
      <c r="T39" s="56">
        <f>$F39*1.3*(15.365095-13.415026)</f>
        <v>46.138632540000025</v>
      </c>
      <c r="U39" s="56">
        <v>0</v>
      </c>
      <c r="V39" s="56">
        <f>$F39*1.3*6.542054</f>
        <v>154.78499764</v>
      </c>
      <c r="W39" s="57"/>
    </row>
    <row r="40" spans="2:23" x14ac:dyDescent="0.3">
      <c r="B40" s="8" t="s">
        <v>139</v>
      </c>
      <c r="C40" s="9" t="s">
        <v>145</v>
      </c>
      <c r="E40" s="8" t="s">
        <v>128</v>
      </c>
      <c r="F40" s="13">
        <f>F39*225/1000</f>
        <v>4.0949999999999998</v>
      </c>
      <c r="G40" s="9" t="s">
        <v>113</v>
      </c>
      <c r="I40" s="16">
        <f>106.238262</f>
        <v>106.23826200000001</v>
      </c>
      <c r="J40" s="13">
        <v>1128.3289400000001</v>
      </c>
      <c r="K40" s="13">
        <f>-0.000022/0.16</f>
        <v>-1.3749999999999998E-4</v>
      </c>
      <c r="L40" s="80" t="s">
        <v>114</v>
      </c>
      <c r="M40" s="9" t="s">
        <v>118</v>
      </c>
      <c r="O40" s="18">
        <v>435.04568289000002</v>
      </c>
      <c r="P40" s="81">
        <v>4620.5070093000004</v>
      </c>
      <c r="Q40" s="55">
        <v>-5.6306249999999987E-4</v>
      </c>
      <c r="R40" s="4"/>
      <c r="S40" s="18">
        <f>$F40*1.3*68.880311</f>
        <v>366.68433560850002</v>
      </c>
      <c r="T40" s="56">
        <f>$F40*1.3*(72.422093-68.880311)</f>
        <v>18.854676476999987</v>
      </c>
      <c r="U40" s="56">
        <v>0</v>
      </c>
      <c r="V40" s="56">
        <f>$F40*1.3*9.299648</f>
        <v>49.506676127999995</v>
      </c>
      <c r="W40" s="57"/>
    </row>
    <row r="41" spans="2:23" x14ac:dyDescent="0.3">
      <c r="B41" s="8" t="s">
        <v>146</v>
      </c>
      <c r="C41" s="9" t="s">
        <v>147</v>
      </c>
      <c r="E41" s="8" t="s">
        <v>141</v>
      </c>
      <c r="F41" s="13">
        <v>131</v>
      </c>
      <c r="G41" s="9" t="s">
        <v>88</v>
      </c>
      <c r="I41" s="16">
        <f>35.174164</f>
        <v>35.174163999999998</v>
      </c>
      <c r="J41" s="13">
        <v>352.06781999999998</v>
      </c>
      <c r="K41" s="13">
        <f>0.000077/0.16</f>
        <v>4.8125000000000002E-4</v>
      </c>
      <c r="L41" s="80" t="s">
        <v>114</v>
      </c>
      <c r="M41" s="9" t="s">
        <v>118</v>
      </c>
      <c r="O41" s="18">
        <v>4607.8154839999997</v>
      </c>
      <c r="P41" s="81">
        <v>46120.884419999995</v>
      </c>
      <c r="Q41" s="55">
        <v>6.3043749999999996E-2</v>
      </c>
      <c r="R41" s="4"/>
      <c r="S41" s="18">
        <f>$F41*1.3*18.56679</f>
        <v>3161.9243370000004</v>
      </c>
      <c r="T41" s="56">
        <f>$F41*1.3*(20.699453-18.56679)</f>
        <v>363.19250889999955</v>
      </c>
      <c r="U41" s="56">
        <v>0</v>
      </c>
      <c r="V41" s="56">
        <f>$F41*1.3*6.357596</f>
        <v>1082.6985988000001</v>
      </c>
      <c r="W41" s="57"/>
    </row>
    <row r="42" spans="2:23" x14ac:dyDescent="0.3">
      <c r="B42" s="8" t="s">
        <v>146</v>
      </c>
      <c r="C42" s="9" t="s">
        <v>147</v>
      </c>
      <c r="E42" s="8" t="s">
        <v>128</v>
      </c>
      <c r="F42" s="13">
        <f>F41*50/1000</f>
        <v>6.55</v>
      </c>
      <c r="G42" s="9" t="s">
        <v>113</v>
      </c>
      <c r="I42" s="16">
        <f>106.238262</f>
        <v>106.23826200000001</v>
      </c>
      <c r="J42" s="13">
        <v>1128.3289400000001</v>
      </c>
      <c r="K42" s="13">
        <f>-0.000022/0.16</f>
        <v>-1.3749999999999998E-4</v>
      </c>
      <c r="L42" s="80" t="s">
        <v>114</v>
      </c>
      <c r="M42" s="9" t="s">
        <v>118</v>
      </c>
      <c r="O42" s="18">
        <v>695.86061610000002</v>
      </c>
      <c r="P42" s="81">
        <v>7390.5545570000004</v>
      </c>
      <c r="Q42" s="55">
        <v>-9.0062499999999984E-4</v>
      </c>
      <c r="R42" s="4"/>
      <c r="S42" s="18">
        <f>$F42*1.3*68.880311</f>
        <v>586.51584816500008</v>
      </c>
      <c r="T42" s="56">
        <f>$F42*1.3*(72.422093-68.880311)</f>
        <v>30.158273729999983</v>
      </c>
      <c r="U42" s="56">
        <v>0</v>
      </c>
      <c r="V42" s="56">
        <f>$F42*1.3*9.299648</f>
        <v>79.186502720000007</v>
      </c>
      <c r="W42" s="57"/>
    </row>
    <row r="43" spans="2:23" x14ac:dyDescent="0.3">
      <c r="B43" s="8" t="s">
        <v>146</v>
      </c>
      <c r="C43" s="9" t="s">
        <v>147</v>
      </c>
      <c r="E43" s="8" t="s">
        <v>128</v>
      </c>
      <c r="F43" s="13">
        <f>F41*30/1000</f>
        <v>3.93</v>
      </c>
      <c r="G43" s="9" t="s">
        <v>113</v>
      </c>
      <c r="I43" s="16">
        <f>106.238262</f>
        <v>106.23826200000001</v>
      </c>
      <c r="J43" s="13">
        <v>1128.3289400000001</v>
      </c>
      <c r="K43" s="13">
        <f>-0.000022/0.16</f>
        <v>-1.3749999999999998E-4</v>
      </c>
      <c r="L43" s="80" t="s">
        <v>114</v>
      </c>
      <c r="M43" s="9" t="s">
        <v>118</v>
      </c>
      <c r="O43" s="18">
        <v>417.51636966000007</v>
      </c>
      <c r="P43" s="81">
        <v>4434.3327342000002</v>
      </c>
      <c r="Q43" s="55">
        <v>-5.4037499999999995E-4</v>
      </c>
      <c r="R43" s="4"/>
      <c r="S43" s="18">
        <f>$F43*1.3*68.880311</f>
        <v>351.909508899</v>
      </c>
      <c r="T43" s="56">
        <f>$F43*1.3*(72.422093-68.880311)</f>
        <v>18.094964237999989</v>
      </c>
      <c r="U43" s="56">
        <v>0</v>
      </c>
      <c r="V43" s="56">
        <f>$F43*1.3*9.299648</f>
        <v>47.511901631999997</v>
      </c>
      <c r="W43" s="57"/>
    </row>
    <row r="44" spans="2:23" x14ac:dyDescent="0.3">
      <c r="B44" s="8" t="s">
        <v>146</v>
      </c>
      <c r="C44" s="9" t="s">
        <v>148</v>
      </c>
      <c r="E44" s="8" t="s">
        <v>137</v>
      </c>
      <c r="F44" s="13">
        <v>135</v>
      </c>
      <c r="G44" s="9" t="s">
        <v>88</v>
      </c>
      <c r="I44" s="16">
        <f>28.479294</f>
        <v>28.479293999999999</v>
      </c>
      <c r="J44" s="13">
        <v>262.47206</v>
      </c>
      <c r="K44" s="13">
        <f>0.000071/0.16</f>
        <v>4.4375000000000003E-4</v>
      </c>
      <c r="L44" s="80" t="s">
        <v>114</v>
      </c>
      <c r="M44" s="9" t="s">
        <v>118</v>
      </c>
      <c r="O44" s="18">
        <v>3844.70469</v>
      </c>
      <c r="P44" s="81">
        <v>35433.7281</v>
      </c>
      <c r="Q44" s="55">
        <v>5.9906250000000001E-2</v>
      </c>
      <c r="R44" s="4"/>
      <c r="S44" s="18">
        <f>$F44*1.3*13.415026</f>
        <v>2354.3370629999999</v>
      </c>
      <c r="T44" s="56">
        <f>$F44*1.3*(15.365095-13.415026)</f>
        <v>342.23710950000014</v>
      </c>
      <c r="U44" s="56">
        <v>0</v>
      </c>
      <c r="V44" s="56">
        <f>$F44*1.3*6.542054</f>
        <v>1148.1304770000002</v>
      </c>
      <c r="W44" s="57"/>
    </row>
    <row r="45" spans="2:23" x14ac:dyDescent="0.3">
      <c r="B45" s="8" t="s">
        <v>146</v>
      </c>
      <c r="C45" s="9" t="s">
        <v>148</v>
      </c>
      <c r="E45" s="8" t="s">
        <v>128</v>
      </c>
      <c r="F45" s="13">
        <f>F44*150/1000</f>
        <v>20.25</v>
      </c>
      <c r="G45" s="9" t="s">
        <v>113</v>
      </c>
      <c r="I45" s="16">
        <f>106.238262</f>
        <v>106.23826200000001</v>
      </c>
      <c r="J45" s="13">
        <v>1128.3289400000001</v>
      </c>
      <c r="K45" s="13">
        <f>-0.000022/0.16</f>
        <v>-1.3749999999999998E-4</v>
      </c>
      <c r="L45" s="80" t="s">
        <v>114</v>
      </c>
      <c r="M45" s="9" t="s">
        <v>118</v>
      </c>
      <c r="O45" s="18">
        <v>2151.3248054999999</v>
      </c>
      <c r="P45" s="81">
        <v>22848.661035000001</v>
      </c>
      <c r="Q45" s="55">
        <v>-2.7843749999999995E-3</v>
      </c>
      <c r="R45" s="4"/>
      <c r="S45" s="18">
        <f>$F45*1.3*68.880311</f>
        <v>1813.2741870750001</v>
      </c>
      <c r="T45" s="56">
        <f>$F45*1.3*(72.422093-68.880311)</f>
        <v>93.237411149999943</v>
      </c>
      <c r="U45" s="56">
        <v>0</v>
      </c>
      <c r="V45" s="56">
        <f>$F45*1.3*9.299648</f>
        <v>244.81323359999999</v>
      </c>
      <c r="W45" s="57"/>
    </row>
    <row r="46" spans="2:23" x14ac:dyDescent="0.3">
      <c r="B46" s="8" t="s">
        <v>146</v>
      </c>
      <c r="C46" s="9" t="s">
        <v>149</v>
      </c>
      <c r="E46" s="8" t="s">
        <v>137</v>
      </c>
      <c r="F46" s="13">
        <v>6.4</v>
      </c>
      <c r="G46" s="9" t="s">
        <v>88</v>
      </c>
      <c r="I46" s="16">
        <f>28.479294</f>
        <v>28.479293999999999</v>
      </c>
      <c r="J46" s="13">
        <v>262.47206</v>
      </c>
      <c r="K46" s="13">
        <f>0.000071/0.16</f>
        <v>4.4375000000000003E-4</v>
      </c>
      <c r="L46" s="80" t="s">
        <v>114</v>
      </c>
      <c r="M46" s="9" t="s">
        <v>118</v>
      </c>
      <c r="O46" s="18">
        <v>182.2674816</v>
      </c>
      <c r="P46" s="81">
        <v>1679.8211840000001</v>
      </c>
      <c r="Q46" s="55">
        <v>2.8400000000000005E-3</v>
      </c>
      <c r="R46" s="4"/>
      <c r="S46" s="18">
        <f>$F46*1.3*13.415026</f>
        <v>111.61301632</v>
      </c>
      <c r="T46" s="56">
        <f>$F46*1.3*(15.365095-13.415026)</f>
        <v>16.224574080000007</v>
      </c>
      <c r="U46" s="56">
        <v>0</v>
      </c>
      <c r="V46" s="56">
        <f>$F46*1.3*6.542054</f>
        <v>54.429889280000005</v>
      </c>
      <c r="W46" s="57"/>
    </row>
    <row r="47" spans="2:23" x14ac:dyDescent="0.3">
      <c r="B47" s="8" t="s">
        <v>146</v>
      </c>
      <c r="C47" s="9" t="s">
        <v>149</v>
      </c>
      <c r="E47" s="8" t="s">
        <v>128</v>
      </c>
      <c r="F47" s="13">
        <f>F46*125/1000</f>
        <v>0.8</v>
      </c>
      <c r="G47" s="9" t="s">
        <v>113</v>
      </c>
      <c r="I47" s="16">
        <f>106.238262</f>
        <v>106.23826200000001</v>
      </c>
      <c r="J47" s="13">
        <v>1128.3289400000001</v>
      </c>
      <c r="K47" s="13">
        <f>-0.000022/0.16</f>
        <v>-1.3749999999999998E-4</v>
      </c>
      <c r="L47" s="80" t="s">
        <v>114</v>
      </c>
      <c r="M47" s="9" t="s">
        <v>118</v>
      </c>
      <c r="O47" s="18">
        <v>84.990609600000013</v>
      </c>
      <c r="P47" s="81">
        <v>902.66315200000008</v>
      </c>
      <c r="Q47" s="55">
        <v>-1.0999999999999999E-4</v>
      </c>
      <c r="R47" s="4"/>
      <c r="S47" s="18">
        <f>$F47*1.3*68.880311</f>
        <v>71.635523440000014</v>
      </c>
      <c r="T47" s="56">
        <f>$F47*1.3*(72.422093-68.880311)</f>
        <v>3.6834532799999979</v>
      </c>
      <c r="U47" s="56">
        <v>0</v>
      </c>
      <c r="V47" s="56">
        <f>$F47*1.3*9.299648</f>
        <v>9.6716339199999997</v>
      </c>
      <c r="W47" s="57"/>
    </row>
    <row r="48" spans="2:23" x14ac:dyDescent="0.3">
      <c r="B48" s="8" t="s">
        <v>146</v>
      </c>
      <c r="C48" s="9" t="s">
        <v>150</v>
      </c>
      <c r="E48" s="8" t="s">
        <v>137</v>
      </c>
      <c r="F48" s="13">
        <v>22.4</v>
      </c>
      <c r="G48" s="9" t="s">
        <v>88</v>
      </c>
      <c r="I48" s="16">
        <f>28.479294</f>
        <v>28.479293999999999</v>
      </c>
      <c r="J48" s="13">
        <v>262.47206</v>
      </c>
      <c r="K48" s="13">
        <f>0.000071/0.16</f>
        <v>4.4375000000000003E-4</v>
      </c>
      <c r="L48" s="80" t="s">
        <v>114</v>
      </c>
      <c r="M48" s="9" t="s">
        <v>118</v>
      </c>
      <c r="O48" s="18">
        <v>637.93618559999993</v>
      </c>
      <c r="P48" s="81">
        <v>5879.3741439999994</v>
      </c>
      <c r="Q48" s="55">
        <v>9.9399999999999992E-3</v>
      </c>
      <c r="R48" s="4"/>
      <c r="S48" s="18">
        <f>$F48*1.3*13.415026</f>
        <v>390.64555711999992</v>
      </c>
      <c r="T48" s="56">
        <f>$F48*1.3*(15.365095-13.415026)</f>
        <v>56.786009280000023</v>
      </c>
      <c r="U48" s="56">
        <v>0</v>
      </c>
      <c r="V48" s="56">
        <f>$F48*1.3*6.542054</f>
        <v>190.50461247999999</v>
      </c>
      <c r="W48" s="57"/>
    </row>
    <row r="49" spans="2:23" x14ac:dyDescent="0.3">
      <c r="B49" s="8" t="s">
        <v>146</v>
      </c>
      <c r="C49" s="9" t="s">
        <v>150</v>
      </c>
      <c r="E49" s="8" t="s">
        <v>128</v>
      </c>
      <c r="F49" s="13">
        <f>F48*200/1000</f>
        <v>4.4800000000000004</v>
      </c>
      <c r="G49" s="9" t="s">
        <v>113</v>
      </c>
      <c r="I49" s="16">
        <f>106.238262</f>
        <v>106.23826200000001</v>
      </c>
      <c r="J49" s="13">
        <v>1128.3289400000001</v>
      </c>
      <c r="K49" s="13">
        <f>-0.000022/0.16</f>
        <v>-1.3749999999999998E-4</v>
      </c>
      <c r="L49" s="80" t="s">
        <v>114</v>
      </c>
      <c r="M49" s="9" t="s">
        <v>118</v>
      </c>
      <c r="O49" s="18">
        <v>475.94741376000007</v>
      </c>
      <c r="P49" s="81">
        <v>5054.9136512000014</v>
      </c>
      <c r="Q49" s="55">
        <v>-6.1600000000000001E-4</v>
      </c>
      <c r="R49" s="4"/>
      <c r="S49" s="18">
        <f>$F49*1.3*68.880311</f>
        <v>401.1589312640001</v>
      </c>
      <c r="T49" s="56">
        <f>$F49*1.3*(72.422093-68.880311)</f>
        <v>20.62733836799999</v>
      </c>
      <c r="U49" s="56">
        <v>0</v>
      </c>
      <c r="V49" s="56">
        <f>$F49*1.3*9.299648</f>
        <v>54.161149952000002</v>
      </c>
      <c r="W49" s="57"/>
    </row>
    <row r="50" spans="2:23" x14ac:dyDescent="0.3">
      <c r="B50" s="8" t="s">
        <v>146</v>
      </c>
      <c r="C50" s="9" t="s">
        <v>151</v>
      </c>
      <c r="E50" s="8" t="s">
        <v>137</v>
      </c>
      <c r="F50" s="13">
        <v>3.75</v>
      </c>
      <c r="G50" s="9" t="s">
        <v>88</v>
      </c>
      <c r="I50" s="16">
        <f>28.479294</f>
        <v>28.479293999999999</v>
      </c>
      <c r="J50" s="13">
        <v>262.47206</v>
      </c>
      <c r="K50" s="13">
        <f>0.000071/0.16</f>
        <v>4.4375000000000003E-4</v>
      </c>
      <c r="L50" s="80" t="s">
        <v>114</v>
      </c>
      <c r="M50" s="9" t="s">
        <v>118</v>
      </c>
      <c r="O50" s="18">
        <v>106.7973525</v>
      </c>
      <c r="P50" s="81">
        <v>984.27022499999998</v>
      </c>
      <c r="Q50" s="55">
        <v>1.6640625000000002E-3</v>
      </c>
      <c r="R50" s="4"/>
      <c r="S50" s="18">
        <f>$F50*1.3*13.415026</f>
        <v>65.39825175</v>
      </c>
      <c r="T50" s="56">
        <f>$F50*1.3*(15.365095-13.415026)</f>
        <v>9.5065863750000048</v>
      </c>
      <c r="U50" s="56">
        <v>0</v>
      </c>
      <c r="V50" s="56">
        <f>$F50*1.3*6.542054</f>
        <v>31.89251325</v>
      </c>
      <c r="W50" s="57"/>
    </row>
    <row r="51" spans="2:23" x14ac:dyDescent="0.3">
      <c r="B51" s="10" t="s">
        <v>146</v>
      </c>
      <c r="C51" s="11" t="s">
        <v>151</v>
      </c>
      <c r="E51" s="10" t="s">
        <v>128</v>
      </c>
      <c r="F51" s="14">
        <f>F50*200/1000</f>
        <v>0.75</v>
      </c>
      <c r="G51" s="11" t="s">
        <v>113</v>
      </c>
      <c r="I51" s="17">
        <f>106.238262</f>
        <v>106.23826200000001</v>
      </c>
      <c r="J51" s="14">
        <v>1128.3289400000001</v>
      </c>
      <c r="K51" s="14">
        <f>-0.000022/0.16</f>
        <v>-1.3749999999999998E-4</v>
      </c>
      <c r="L51" s="82" t="s">
        <v>114</v>
      </c>
      <c r="M51" s="11" t="s">
        <v>118</v>
      </c>
      <c r="O51" s="59">
        <v>79.678696500000001</v>
      </c>
      <c r="P51" s="83">
        <v>846.24670500000002</v>
      </c>
      <c r="Q51" s="58">
        <v>-1.0312499999999999E-4</v>
      </c>
      <c r="R51" s="4"/>
      <c r="S51" s="59">
        <f>$F51*1.3*68.880311</f>
        <v>67.158303225000012</v>
      </c>
      <c r="T51" s="60">
        <f>$F51*1.3*(72.422093-68.880311)</f>
        <v>3.4532374499999983</v>
      </c>
      <c r="U51" s="60">
        <v>0</v>
      </c>
      <c r="V51" s="60">
        <f>$F51*1.3*9.299648</f>
        <v>9.0671568000000011</v>
      </c>
      <c r="W51" s="61"/>
    </row>
    <row r="52" spans="2:23" x14ac:dyDescent="0.3">
      <c r="O52" s="4"/>
      <c r="P52" s="4"/>
      <c r="Q52" s="4"/>
      <c r="R52" s="4"/>
      <c r="S52" s="4"/>
      <c r="T52" s="4"/>
      <c r="U52" s="4"/>
      <c r="V52" s="4"/>
      <c r="W52" s="4"/>
    </row>
    <row r="53" spans="2:23" s="1" customFormat="1" x14ac:dyDescent="0.3">
      <c r="B53" s="19" t="s">
        <v>7</v>
      </c>
      <c r="C53" s="19"/>
      <c r="E53" s="19"/>
      <c r="F53" s="20"/>
      <c r="G53" s="19"/>
      <c r="I53" s="21"/>
      <c r="J53" s="21"/>
      <c r="K53" s="21"/>
      <c r="L53" s="22"/>
      <c r="M53" s="23"/>
      <c r="O53" s="25">
        <f>SUM(O6:O51)</f>
        <v>75663.786364386877</v>
      </c>
      <c r="P53" s="25">
        <f>SUM(P6:P51)</f>
        <v>754766.4723059769</v>
      </c>
      <c r="Q53" s="25">
        <f>SUM(Q6:Q51)</f>
        <v>0.5997991669999998</v>
      </c>
      <c r="R53" s="62"/>
      <c r="S53" s="25">
        <f>SUM(S6:S51)</f>
        <v>61003.974147129855</v>
      </c>
      <c r="T53" s="25">
        <f>SUM(T6:T51)</f>
        <v>4241.9632801310008</v>
      </c>
      <c r="U53" s="25">
        <f>SUM(U6:U51)</f>
        <v>0</v>
      </c>
      <c r="V53" s="25">
        <f>SUM(V6:V51)</f>
        <v>13595.091013634001</v>
      </c>
      <c r="W53" s="25">
        <f>SUM(W6:W51)</f>
        <v>0</v>
      </c>
    </row>
    <row r="54" spans="2:23" hidden="1" x14ac:dyDescent="0.3">
      <c r="O54" s="4"/>
      <c r="P54" s="4"/>
      <c r="Q54" s="4"/>
      <c r="R54" s="4"/>
      <c r="S54" s="4"/>
      <c r="T54" s="4"/>
      <c r="U54" s="4"/>
      <c r="V54" s="4"/>
      <c r="W54" s="4"/>
    </row>
    <row r="55" spans="2:23" hidden="1" x14ac:dyDescent="0.3">
      <c r="O55" s="4"/>
      <c r="P55" s="4"/>
      <c r="Q55" s="4"/>
      <c r="R55" s="4"/>
      <c r="S55" s="4">
        <f>SUMIF($M$6:$M$51, "Ja",(S6:S51))</f>
        <v>61003.799976038361</v>
      </c>
      <c r="T55" s="4">
        <f>SUMIF($M$6:$M$51, "Ja",(T6:T51))</f>
        <v>4241.9632801310008</v>
      </c>
      <c r="U55" s="4">
        <f>SUMIF($M$6:$M$51, "Ja",(U6:U51))</f>
        <v>0</v>
      </c>
      <c r="V55" s="4">
        <f>SUMIF($M$6:$M$51, "Ja",(V6:V51))</f>
        <v>13595.091013634001</v>
      </c>
      <c r="W55" s="4"/>
    </row>
    <row r="56" spans="2:23" hidden="1" x14ac:dyDescent="0.3">
      <c r="O56" s="4"/>
      <c r="P56" s="4"/>
      <c r="Q56" s="4"/>
      <c r="R56" s="4"/>
      <c r="S56" s="4">
        <f>S55/1.3</f>
        <v>46925.999981567969</v>
      </c>
      <c r="T56" s="4">
        <f>T55/1.3</f>
        <v>3263.0486770238467</v>
      </c>
      <c r="U56" s="4">
        <f>U55/1.3</f>
        <v>0</v>
      </c>
      <c r="V56" s="4">
        <f>V55/1.3</f>
        <v>10457.762318180001</v>
      </c>
      <c r="W56" s="4"/>
    </row>
    <row r="57" spans="2:23" hidden="1" x14ac:dyDescent="0.3">
      <c r="O57" s="4"/>
      <c r="P57" s="4"/>
      <c r="Q57" s="4"/>
      <c r="R57" s="4"/>
      <c r="S57" s="4">
        <f>S53-S55</f>
        <v>0.17417109149391763</v>
      </c>
      <c r="T57" s="4">
        <f>T53-T55</f>
        <v>0</v>
      </c>
      <c r="U57" s="4">
        <f>U53-U55</f>
        <v>0</v>
      </c>
      <c r="V57" s="4">
        <f>V53-V55</f>
        <v>0</v>
      </c>
      <c r="W57" s="4"/>
    </row>
    <row r="58" spans="2:23" hidden="1" x14ac:dyDescent="0.3">
      <c r="B58" s="90"/>
      <c r="C58" s="91"/>
      <c r="D58" s="91"/>
      <c r="E58" s="91"/>
      <c r="F58" s="91"/>
      <c r="G58" s="91"/>
      <c r="H58" s="92"/>
      <c r="I58" s="92"/>
      <c r="J58" s="92"/>
      <c r="K58" s="92"/>
      <c r="L58" s="92"/>
      <c r="O58" s="66">
        <f>SUM(S58:W58)</f>
        <v>60646.985147863314</v>
      </c>
      <c r="P58" s="4"/>
      <c r="Q58" s="4"/>
      <c r="R58" s="4"/>
      <c r="S58" s="66">
        <f>S57+S56</f>
        <v>46926.174152659463</v>
      </c>
      <c r="T58" s="66">
        <f>T57+T56</f>
        <v>3263.0486770238467</v>
      </c>
      <c r="U58" s="66">
        <f>U57+U56</f>
        <v>0</v>
      </c>
      <c r="V58" s="66">
        <f>V57+V56</f>
        <v>10457.762318180001</v>
      </c>
      <c r="W58" s="66">
        <f>W53</f>
        <v>0</v>
      </c>
    </row>
    <row r="59" spans="2:23" x14ac:dyDescent="0.3">
      <c r="O59" s="4"/>
      <c r="P59" s="4"/>
      <c r="Q59" s="4"/>
      <c r="R59" s="4"/>
      <c r="S59" s="4"/>
      <c r="T59" s="4"/>
      <c r="U59" s="4"/>
      <c r="V59" s="4"/>
      <c r="W59" s="4"/>
    </row>
  </sheetData>
  <mergeCells count="2">
    <mergeCell ref="O4:P4"/>
    <mergeCell ref="B58:L5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1a Geluidsscherm_Ontwerp</vt:lpstr>
      <vt:lpstr>1b Geluidsscherm_MKI-data</vt:lpstr>
      <vt:lpstr>1c Geluidsscherm_Voorbeeld</vt:lpstr>
      <vt:lpstr>2a Riolering_Ontwerp</vt:lpstr>
      <vt:lpstr>2b Riolering_MKI-data</vt:lpstr>
      <vt:lpstr>3a Oeverbescherming_Ontwerp</vt:lpstr>
      <vt:lpstr>3b Oeverbescherming_MKI-data</vt:lpstr>
      <vt:lpstr>4a Viaduct_Ontwerp-2x3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Mentink, Bas</dc:creator>
  <cp:lastModifiedBy>Ton Ton</cp:lastModifiedBy>
  <dcterms:created xsi:type="dcterms:W3CDTF">2021-12-06T18:57:24Z</dcterms:created>
  <dcterms:modified xsi:type="dcterms:W3CDTF">2022-04-11T09:25:40Z</dcterms:modified>
</cp:coreProperties>
</file>