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Override PartName="/xl/threadedComments/threadedComment2.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P:\gpo\P_3186b5\DuboCalc Objectenbibliotheek\D Uitgewerkte objecten\"/>
    </mc:Choice>
  </mc:AlternateContent>
  <bookViews>
    <workbookView xWindow="-120" yWindow="-120" windowWidth="29040" windowHeight="15840" tabRatio="707"/>
  </bookViews>
  <sheets>
    <sheet name="Intro" sheetId="44" r:id="rId1"/>
    <sheet name="Wegvak" sheetId="1" r:id="rId2"/>
    <sheet name="Aansluiting" sheetId="29" r:id="rId3"/>
    <sheet name="Viaduct voor semi-directe vw" sheetId="32" r:id="rId4"/>
    <sheet name="Viaduct (2x2)" sheetId="3" r:id="rId5"/>
    <sheet name="Viaduct (2x3)" sheetId="42" r:id="rId6"/>
    <sheet name="Knooppunt" sheetId="28" r:id="rId7"/>
    <sheet name="Brug 40m (2x2)" sheetId="39" r:id="rId8"/>
    <sheet name="Brug 40m (2x3)" sheetId="40" r:id="rId9"/>
    <sheet name="Brug 80m (2x2)" sheetId="38" r:id="rId10"/>
    <sheet name="Brug 80m (2x3)" sheetId="41" r:id="rId11"/>
    <sheet name="Fietsbrug over water 12m" sheetId="51" r:id="rId12"/>
    <sheet name="Fietsbrug over water 40m" sheetId="52" r:id="rId13"/>
    <sheet name="Fietsbrug over water 90m" sheetId="53" r:id="rId14"/>
    <sheet name="Fietsbrug over weg 12m" sheetId="54" r:id="rId15"/>
    <sheet name="Fietsbrug over weg 40m" sheetId="55" r:id="rId16"/>
    <sheet name="Fietsbrug over weg 90m" sheetId="56" r:id="rId17"/>
    <sheet name="Tunnel" sheetId="6" r:id="rId18"/>
    <sheet name="Open bak" sheetId="36" r:id="rId19"/>
    <sheet name="Verzorgingsplaats" sheetId="43" r:id="rId20"/>
    <sheet name="Viaductverbreding 1 rijstrook" sheetId="10" r:id="rId21"/>
    <sheet name="Snelfietspad" sheetId="13" r:id="rId22"/>
    <sheet name="P+R locaties" sheetId="14" r:id="rId23"/>
    <sheet name="Ontkoppelpunten" sheetId="15" r:id="rId24"/>
    <sheet name="Metro" sheetId="31" r:id="rId25"/>
    <sheet name="Enkel treinspoor" sheetId="19" r:id="rId26"/>
    <sheet name="Dubbel treinspoor" sheetId="30" r:id="rId27"/>
    <sheet name="Tramspoor" sheetId="21" r:id="rId28"/>
    <sheet name="Ondergrondse metro " sheetId="33" r:id="rId29"/>
    <sheet name="HOV-busbaan" sheetId="23" r:id="rId30"/>
    <sheet name="N-weg (met berm)" sheetId="27" r:id="rId31"/>
    <sheet name="N-weg (zonder berm)" sheetId="37" r:id="rId32"/>
    <sheet name="GO-weg" sheetId="34" r:id="rId33"/>
    <sheet name="Onderdoorgang" sheetId="35" r:id="rId34"/>
    <sheet name="Rotonde" sheetId="26" r:id="rId35"/>
  </sheets>
  <definedNames>
    <definedName name="WegvakA1">Wegvak!$A$1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73" i="56" l="1"/>
  <c r="H73" i="56" s="1"/>
  <c r="C72" i="56"/>
  <c r="H72" i="56" s="1"/>
  <c r="H71" i="56"/>
  <c r="C69" i="56"/>
  <c r="H69" i="56" s="1"/>
  <c r="H68" i="56"/>
  <c r="C67" i="56"/>
  <c r="H67" i="56" s="1"/>
  <c r="H66" i="56"/>
  <c r="C63" i="56"/>
  <c r="C65" i="56" s="1"/>
  <c r="H65" i="56" s="1"/>
  <c r="C61" i="56"/>
  <c r="H61" i="56" s="1"/>
  <c r="C59" i="56"/>
  <c r="C60" i="56" s="1"/>
  <c r="H60" i="56" s="1"/>
  <c r="C57" i="56"/>
  <c r="H57" i="56" s="1"/>
  <c r="C56" i="56"/>
  <c r="H56" i="56" s="1"/>
  <c r="H55" i="56"/>
  <c r="H54" i="56"/>
  <c r="H53" i="56"/>
  <c r="H49" i="56"/>
  <c r="C49" i="56"/>
  <c r="C48" i="56"/>
  <c r="H48" i="56" s="1"/>
  <c r="H47" i="56"/>
  <c r="H45" i="56"/>
  <c r="C45" i="56"/>
  <c r="C44" i="56"/>
  <c r="H44" i="56" s="1"/>
  <c r="C38" i="56"/>
  <c r="C39" i="56" s="1"/>
  <c r="H39" i="56" s="1"/>
  <c r="C36" i="56"/>
  <c r="H36" i="56" s="1"/>
  <c r="C34" i="56"/>
  <c r="C35" i="56" s="1"/>
  <c r="H35" i="56" s="1"/>
  <c r="C33" i="56"/>
  <c r="H33" i="56" s="1"/>
  <c r="C32" i="56"/>
  <c r="H32" i="56" s="1"/>
  <c r="C31" i="56"/>
  <c r="H31" i="56" s="1"/>
  <c r="H30" i="56"/>
  <c r="H29" i="56"/>
  <c r="H28" i="56"/>
  <c r="C23" i="56"/>
  <c r="C22" i="56"/>
  <c r="C41" i="56" s="1"/>
  <c r="C21" i="56"/>
  <c r="C67" i="55"/>
  <c r="H67" i="55" s="1"/>
  <c r="H66" i="55"/>
  <c r="C64" i="55"/>
  <c r="H64" i="55" s="1"/>
  <c r="C63" i="55"/>
  <c r="H63" i="55" s="1"/>
  <c r="H62" i="55"/>
  <c r="H61" i="55"/>
  <c r="H60" i="55"/>
  <c r="H59" i="55"/>
  <c r="H58" i="55"/>
  <c r="H57" i="55"/>
  <c r="C53" i="55"/>
  <c r="H53" i="55" s="1"/>
  <c r="H52" i="55"/>
  <c r="C50" i="55"/>
  <c r="H50" i="55" s="1"/>
  <c r="C49" i="55"/>
  <c r="H49" i="55" s="1"/>
  <c r="H48" i="55"/>
  <c r="H47" i="55"/>
  <c r="H46" i="55"/>
  <c r="H45" i="55"/>
  <c r="H44" i="55"/>
  <c r="H43" i="55"/>
  <c r="C39" i="55"/>
  <c r="H39" i="55" s="1"/>
  <c r="H38" i="55"/>
  <c r="C36" i="55"/>
  <c r="H36" i="55" s="1"/>
  <c r="H35" i="55"/>
  <c r="C35" i="55"/>
  <c r="H31" i="55"/>
  <c r="H30" i="55"/>
  <c r="H29" i="55"/>
  <c r="H28" i="55"/>
  <c r="C23" i="55"/>
  <c r="C22" i="55"/>
  <c r="C32" i="55" s="1"/>
  <c r="C21" i="55"/>
  <c r="C70" i="54"/>
  <c r="H70" i="54" s="1"/>
  <c r="C69" i="54"/>
  <c r="H69" i="54" s="1"/>
  <c r="H68" i="54"/>
  <c r="H67" i="54"/>
  <c r="H66" i="54"/>
  <c r="H65" i="54"/>
  <c r="H64" i="54"/>
  <c r="H63" i="54"/>
  <c r="H58" i="54"/>
  <c r="C57" i="54"/>
  <c r="H57" i="54" s="1"/>
  <c r="H56" i="54"/>
  <c r="H55" i="54"/>
  <c r="H54" i="54"/>
  <c r="H53" i="54"/>
  <c r="H52" i="54"/>
  <c r="C47" i="54"/>
  <c r="H47" i="54" s="1"/>
  <c r="C46" i="54"/>
  <c r="H46" i="54" s="1"/>
  <c r="H42" i="54"/>
  <c r="H41" i="54"/>
  <c r="H40" i="54"/>
  <c r="H39" i="54"/>
  <c r="C34" i="54"/>
  <c r="H34" i="54" s="1"/>
  <c r="C33" i="54"/>
  <c r="H33" i="54" s="1"/>
  <c r="H28" i="54"/>
  <c r="C23" i="54"/>
  <c r="C22" i="54"/>
  <c r="C35" i="54" s="1"/>
  <c r="H35" i="54" s="1"/>
  <c r="C21" i="54"/>
  <c r="C73" i="53"/>
  <c r="H73" i="53" s="1"/>
  <c r="C72" i="53"/>
  <c r="H72" i="53" s="1"/>
  <c r="H71" i="53"/>
  <c r="C69" i="53"/>
  <c r="H69" i="53" s="1"/>
  <c r="C68" i="53"/>
  <c r="H68" i="53" s="1"/>
  <c r="H67" i="53"/>
  <c r="H66" i="53"/>
  <c r="C65" i="53"/>
  <c r="H65" i="53" s="1"/>
  <c r="C63" i="53"/>
  <c r="C64" i="53" s="1"/>
  <c r="H64" i="53" s="1"/>
  <c r="C62" i="53"/>
  <c r="H62" i="53" s="1"/>
  <c r="H61" i="53"/>
  <c r="C61" i="53"/>
  <c r="C59" i="53"/>
  <c r="C60" i="53" s="1"/>
  <c r="H60" i="53" s="1"/>
  <c r="C57" i="53"/>
  <c r="C58" i="53" s="1"/>
  <c r="H58" i="53" s="1"/>
  <c r="C56" i="53"/>
  <c r="H56" i="53" s="1"/>
  <c r="H55" i="53"/>
  <c r="H54" i="53"/>
  <c r="H53" i="53"/>
  <c r="C49" i="53"/>
  <c r="H49" i="53" s="1"/>
  <c r="C48" i="53"/>
  <c r="H48" i="53" s="1"/>
  <c r="H47" i="53"/>
  <c r="C45" i="53"/>
  <c r="H45" i="53" s="1"/>
  <c r="C44" i="53"/>
  <c r="H44" i="53" s="1"/>
  <c r="C38" i="53"/>
  <c r="H38" i="53" s="1"/>
  <c r="C37" i="53"/>
  <c r="H37" i="53" s="1"/>
  <c r="C36" i="53"/>
  <c r="H36" i="53" s="1"/>
  <c r="C34" i="53"/>
  <c r="C35" i="53" s="1"/>
  <c r="H35" i="53" s="1"/>
  <c r="H32" i="53"/>
  <c r="C32" i="53"/>
  <c r="C33" i="53" s="1"/>
  <c r="H33" i="53" s="1"/>
  <c r="C31" i="53"/>
  <c r="H31" i="53" s="1"/>
  <c r="H30" i="53"/>
  <c r="H29" i="53"/>
  <c r="H28" i="53"/>
  <c r="C23" i="53"/>
  <c r="C24" i="53" s="1"/>
  <c r="C22" i="53"/>
  <c r="C41" i="53" s="1"/>
  <c r="C43" i="53" s="1"/>
  <c r="H43" i="53" s="1"/>
  <c r="C21" i="53"/>
  <c r="C67" i="52"/>
  <c r="H67" i="52" s="1"/>
  <c r="H66" i="52"/>
  <c r="H64" i="52"/>
  <c r="C64" i="52"/>
  <c r="C63" i="52"/>
  <c r="H63" i="52" s="1"/>
  <c r="H62" i="52"/>
  <c r="H61" i="52"/>
  <c r="H60" i="52"/>
  <c r="H59" i="52"/>
  <c r="H58" i="52"/>
  <c r="H57" i="52"/>
  <c r="C53" i="52"/>
  <c r="H53" i="52" s="1"/>
  <c r="H52" i="52"/>
  <c r="C50" i="52"/>
  <c r="H50" i="52" s="1"/>
  <c r="H49" i="52"/>
  <c r="C49" i="52"/>
  <c r="H48" i="52"/>
  <c r="H47" i="52"/>
  <c r="H46" i="52"/>
  <c r="H45" i="52"/>
  <c r="H44" i="52"/>
  <c r="H43" i="52"/>
  <c r="H39" i="52"/>
  <c r="C39" i="52"/>
  <c r="H38" i="52"/>
  <c r="C36" i="52"/>
  <c r="H36" i="52" s="1"/>
  <c r="H35" i="52"/>
  <c r="C35" i="52"/>
  <c r="H31" i="52"/>
  <c r="H30" i="52"/>
  <c r="H29" i="52"/>
  <c r="H28" i="52"/>
  <c r="C23" i="52"/>
  <c r="C22" i="52"/>
  <c r="C24" i="52" s="1"/>
  <c r="C21" i="52"/>
  <c r="C70" i="51"/>
  <c r="H70" i="51" s="1"/>
  <c r="C69" i="51"/>
  <c r="H69" i="51" s="1"/>
  <c r="H68" i="51"/>
  <c r="H67" i="51"/>
  <c r="H66" i="51"/>
  <c r="H65" i="51"/>
  <c r="H64" i="51"/>
  <c r="H63" i="51"/>
  <c r="H58" i="51"/>
  <c r="C57" i="51"/>
  <c r="H57" i="51" s="1"/>
  <c r="H56" i="51"/>
  <c r="H55" i="51"/>
  <c r="H54" i="51"/>
  <c r="H53" i="51"/>
  <c r="H52" i="51"/>
  <c r="C47" i="51"/>
  <c r="H47" i="51" s="1"/>
  <c r="C46" i="51"/>
  <c r="H46" i="51" s="1"/>
  <c r="H42" i="51"/>
  <c r="H41" i="51"/>
  <c r="H40" i="51"/>
  <c r="H39" i="51"/>
  <c r="C34" i="51"/>
  <c r="H34" i="51" s="1"/>
  <c r="C33" i="51"/>
  <c r="H33" i="51" s="1"/>
  <c r="H28" i="51"/>
  <c r="C23" i="51"/>
  <c r="C22" i="51"/>
  <c r="C24" i="51" s="1"/>
  <c r="C21" i="51"/>
  <c r="C36" i="34"/>
  <c r="C35" i="34"/>
  <c r="C34" i="34"/>
  <c r="C33" i="34"/>
  <c r="C32" i="34"/>
  <c r="C31" i="34"/>
  <c r="C29" i="34"/>
  <c r="C36" i="37"/>
  <c r="C35" i="37"/>
  <c r="C34" i="37"/>
  <c r="C33" i="37"/>
  <c r="C32" i="37"/>
  <c r="C31" i="37"/>
  <c r="C43" i="56" l="1"/>
  <c r="H43" i="56" s="1"/>
  <c r="C42" i="56"/>
  <c r="H42" i="56" s="1"/>
  <c r="H41" i="56"/>
  <c r="C37" i="56"/>
  <c r="H37" i="56" s="1"/>
  <c r="H59" i="56"/>
  <c r="C58" i="56"/>
  <c r="H58" i="56" s="1"/>
  <c r="C62" i="56"/>
  <c r="H62" i="56" s="1"/>
  <c r="H63" i="56"/>
  <c r="C24" i="56"/>
  <c r="C24" i="54"/>
  <c r="C59" i="54" s="1"/>
  <c r="H59" i="54" s="1"/>
  <c r="H57" i="53"/>
  <c r="C40" i="53"/>
  <c r="H40" i="53" s="1"/>
  <c r="C32" i="52"/>
  <c r="H32" i="52" s="1"/>
  <c r="C65" i="52"/>
  <c r="H65" i="52" s="1"/>
  <c r="C37" i="52"/>
  <c r="H37" i="52" s="1"/>
  <c r="C51" i="52"/>
  <c r="H51" i="52" s="1"/>
  <c r="C71" i="54"/>
  <c r="H71" i="54" s="1"/>
  <c r="C70" i="53"/>
  <c r="H70" i="53" s="1"/>
  <c r="C46" i="53"/>
  <c r="H46" i="53" s="1"/>
  <c r="C35" i="51"/>
  <c r="C71" i="51"/>
  <c r="H71" i="51" s="1"/>
  <c r="C48" i="51"/>
  <c r="H48" i="51" s="1"/>
  <c r="C59" i="51"/>
  <c r="H59" i="51" s="1"/>
  <c r="C33" i="55"/>
  <c r="H33" i="55" s="1"/>
  <c r="H32" i="55"/>
  <c r="C34" i="55"/>
  <c r="H34" i="55" s="1"/>
  <c r="C42" i="53"/>
  <c r="H42" i="53" s="1"/>
  <c r="C64" i="56"/>
  <c r="H64" i="56" s="1"/>
  <c r="H41" i="53"/>
  <c r="H38" i="56"/>
  <c r="H34" i="53"/>
  <c r="H59" i="53"/>
  <c r="H63" i="53"/>
  <c r="C39" i="53"/>
  <c r="H39" i="53" s="1"/>
  <c r="C43" i="54"/>
  <c r="C40" i="56"/>
  <c r="H40" i="56" s="1"/>
  <c r="C24" i="55"/>
  <c r="H34" i="56"/>
  <c r="C38" i="1"/>
  <c r="C53" i="29"/>
  <c r="G53" i="29" s="1"/>
  <c r="C25" i="15"/>
  <c r="C24" i="15"/>
  <c r="C23" i="15"/>
  <c r="C39" i="28"/>
  <c r="C40" i="28"/>
  <c r="C41" i="28"/>
  <c r="C43" i="28"/>
  <c r="C44" i="28"/>
  <c r="C45" i="28"/>
  <c r="C46" i="28"/>
  <c r="C70" i="56" l="1"/>
  <c r="H70" i="56" s="1"/>
  <c r="C46" i="56"/>
  <c r="H46" i="56" s="1"/>
  <c r="C48" i="54"/>
  <c r="H48" i="54" s="1"/>
  <c r="C34" i="52"/>
  <c r="H34" i="52" s="1"/>
  <c r="C33" i="52"/>
  <c r="H33" i="52" s="1"/>
  <c r="C37" i="55"/>
  <c r="H37" i="55" s="1"/>
  <c r="C51" i="55"/>
  <c r="H51" i="55" s="1"/>
  <c r="C65" i="55"/>
  <c r="H65" i="55" s="1"/>
  <c r="C45" i="54"/>
  <c r="H45" i="54" s="1"/>
  <c r="C44" i="54"/>
  <c r="H44" i="54" s="1"/>
  <c r="H43" i="54"/>
  <c r="C43" i="51"/>
  <c r="H35" i="51"/>
  <c r="G44" i="28"/>
  <c r="C77" i="29"/>
  <c r="G77" i="29" s="1"/>
  <c r="C76" i="29"/>
  <c r="G76" i="29" s="1"/>
  <c r="C75" i="29"/>
  <c r="G75" i="29" s="1"/>
  <c r="C74" i="29"/>
  <c r="G74" i="29" s="1"/>
  <c r="C73" i="29"/>
  <c r="G73" i="29" s="1"/>
  <c r="C72" i="29"/>
  <c r="G72" i="29" s="1"/>
  <c r="C71" i="29"/>
  <c r="G71" i="29" s="1"/>
  <c r="C68" i="29"/>
  <c r="G68" i="29" s="1"/>
  <c r="C67" i="29"/>
  <c r="G67" i="29" s="1"/>
  <c r="C66" i="29"/>
  <c r="G66" i="29" s="1"/>
  <c r="C63" i="29"/>
  <c r="G63" i="29" s="1"/>
  <c r="C62" i="29"/>
  <c r="G62" i="29" s="1"/>
  <c r="C61" i="29"/>
  <c r="G61" i="29" s="1"/>
  <c r="C58" i="29"/>
  <c r="G58" i="29" s="1"/>
  <c r="C57" i="29"/>
  <c r="G57" i="29" s="1"/>
  <c r="C56" i="29"/>
  <c r="G56" i="29" s="1"/>
  <c r="C54" i="29"/>
  <c r="G54" i="29" s="1"/>
  <c r="C52" i="29"/>
  <c r="G52" i="29" s="1"/>
  <c r="C51" i="29"/>
  <c r="G51" i="29" s="1"/>
  <c r="C50" i="29"/>
  <c r="G50" i="29" s="1"/>
  <c r="C47" i="29"/>
  <c r="G47" i="29" s="1"/>
  <c r="C46" i="29"/>
  <c r="G46" i="29" s="1"/>
  <c r="C45" i="29"/>
  <c r="G45" i="29" s="1"/>
  <c r="C43" i="29"/>
  <c r="G43" i="29" s="1"/>
  <c r="C42" i="29"/>
  <c r="G42" i="29" s="1"/>
  <c r="C41" i="29"/>
  <c r="G41" i="29" s="1"/>
  <c r="C40" i="29"/>
  <c r="G40" i="29" s="1"/>
  <c r="C39" i="29"/>
  <c r="G39" i="29" s="1"/>
  <c r="C48" i="1"/>
  <c r="G48" i="1" s="1"/>
  <c r="C46" i="1"/>
  <c r="G46" i="1" s="1"/>
  <c r="C45" i="1"/>
  <c r="G45" i="1" s="1"/>
  <c r="C43" i="1"/>
  <c r="G43" i="1" s="1"/>
  <c r="C41" i="1"/>
  <c r="G41" i="1" s="1"/>
  <c r="C40" i="1"/>
  <c r="G40" i="1" s="1"/>
  <c r="C39" i="1"/>
  <c r="G39" i="1" s="1"/>
  <c r="G38" i="1"/>
  <c r="C37" i="1"/>
  <c r="G37" i="1" s="1"/>
  <c r="C36" i="1"/>
  <c r="G36" i="1" s="1"/>
  <c r="C34" i="1"/>
  <c r="G34" i="1" s="1"/>
  <c r="C33" i="1"/>
  <c r="G33" i="1" s="1"/>
  <c r="C32" i="1"/>
  <c r="G32" i="1" s="1"/>
  <c r="C31" i="1"/>
  <c r="G31" i="1" s="1"/>
  <c r="C30" i="1"/>
  <c r="G30" i="1" s="1"/>
  <c r="C29" i="1"/>
  <c r="G29" i="1" s="1"/>
  <c r="C27" i="1"/>
  <c r="G27" i="1" s="1"/>
  <c r="C26" i="1"/>
  <c r="G26" i="1" s="1"/>
  <c r="C25" i="1"/>
  <c r="G25" i="1" s="1"/>
  <c r="C24" i="1"/>
  <c r="G24" i="1" s="1"/>
  <c r="C23" i="1"/>
  <c r="G23" i="1" s="1"/>
  <c r="C22" i="1"/>
  <c r="G22" i="1" s="1"/>
  <c r="H43" i="51" l="1"/>
  <c r="C45" i="51"/>
  <c r="H45" i="51" s="1"/>
  <c r="C44" i="51"/>
  <c r="H44" i="51" s="1"/>
  <c r="C70" i="32"/>
  <c r="C71" i="32"/>
  <c r="G70" i="32" l="1"/>
  <c r="G71" i="32"/>
  <c r="G78" i="42" l="1"/>
  <c r="G77" i="42"/>
  <c r="C53" i="19"/>
  <c r="G53" i="19" s="1"/>
  <c r="G78" i="3"/>
  <c r="G77" i="3" l="1"/>
  <c r="D72" i="33"/>
  <c r="D41" i="33"/>
  <c r="D71" i="33"/>
  <c r="C79" i="33" s="1"/>
  <c r="G79" i="33" s="1"/>
  <c r="C80" i="33" l="1"/>
  <c r="G80" i="33" s="1"/>
  <c r="C45" i="37"/>
  <c r="G45" i="37" s="1"/>
  <c r="C42" i="27" l="1"/>
  <c r="G42" i="27" s="1"/>
  <c r="C71" i="41" l="1"/>
  <c r="G71" i="41" s="1"/>
  <c r="C71" i="38"/>
  <c r="G71" i="38" s="1"/>
  <c r="C75" i="40"/>
  <c r="G75" i="40" s="1"/>
  <c r="C75" i="39"/>
  <c r="G75" i="39" s="1"/>
  <c r="C83" i="28"/>
  <c r="G83" i="28" s="1"/>
  <c r="C75" i="28"/>
  <c r="G75" i="28" s="1"/>
  <c r="C65" i="28"/>
  <c r="G65" i="28" s="1"/>
  <c r="G46" i="28"/>
  <c r="C78" i="42"/>
  <c r="C78" i="3"/>
  <c r="C31" i="35"/>
  <c r="G31" i="35" s="1"/>
  <c r="C32" i="35"/>
  <c r="G32" i="35" s="1"/>
  <c r="C33" i="35"/>
  <c r="G33" i="35" s="1"/>
  <c r="C40" i="34"/>
  <c r="H40" i="34" s="1"/>
  <c r="H33" i="34"/>
  <c r="J33" i="34" s="1"/>
  <c r="H31" i="34"/>
  <c r="J31" i="34" s="1"/>
  <c r="G33" i="37"/>
  <c r="I33" i="37" s="1"/>
  <c r="G31" i="37"/>
  <c r="I31" i="37" s="1"/>
  <c r="C40" i="37"/>
  <c r="G40" i="37" s="1"/>
  <c r="C33" i="27"/>
  <c r="G33" i="27" s="1"/>
  <c r="I33" i="27" s="1"/>
  <c r="C23" i="14"/>
  <c r="G23" i="14" s="1"/>
  <c r="C20" i="13"/>
  <c r="G20" i="13" s="1"/>
  <c r="C82" i="6"/>
  <c r="G82" i="6" s="1"/>
  <c r="C81" i="6"/>
  <c r="G81" i="6" s="1"/>
  <c r="C91" i="6"/>
  <c r="G91" i="6" s="1"/>
  <c r="C90" i="6"/>
  <c r="G90" i="6" s="1"/>
  <c r="C79" i="28"/>
  <c r="G79" i="28" s="1"/>
  <c r="C69" i="28"/>
  <c r="G69" i="28" s="1"/>
  <c r="C50" i="28"/>
  <c r="G50" i="28" s="1"/>
  <c r="G41" i="28"/>
  <c r="C38" i="28"/>
  <c r="G38" i="28" s="1"/>
  <c r="G40" i="28"/>
  <c r="C82" i="28"/>
  <c r="G82" i="28" s="1"/>
  <c r="C73" i="28"/>
  <c r="G73" i="28" s="1"/>
  <c r="C63" i="28"/>
  <c r="G63" i="28" s="1"/>
  <c r="C66" i="42"/>
  <c r="G66" i="42" s="1"/>
  <c r="C66" i="3"/>
  <c r="G66" i="3" s="1"/>
  <c r="D33" i="36" l="1"/>
  <c r="D15" i="35"/>
  <c r="D26" i="35" s="1"/>
  <c r="C37" i="35"/>
  <c r="G37" i="35" s="1"/>
  <c r="C48" i="36"/>
  <c r="G48" i="36" s="1"/>
  <c r="C100" i="6"/>
  <c r="G100" i="6" s="1"/>
  <c r="C38" i="35" l="1"/>
  <c r="G38" i="35" s="1"/>
  <c r="D27" i="35"/>
  <c r="C57" i="36"/>
  <c r="G57" i="36" s="1"/>
  <c r="C58" i="36"/>
  <c r="G58" i="36" s="1"/>
  <c r="D65" i="6"/>
  <c r="D32" i="6"/>
  <c r="C78" i="6" l="1"/>
  <c r="G78" i="6"/>
  <c r="C42" i="35"/>
  <c r="G42" i="35" s="1"/>
  <c r="C40" i="35"/>
  <c r="G40" i="35" s="1"/>
  <c r="C41" i="35"/>
  <c r="G41" i="35" s="1"/>
  <c r="C43" i="35"/>
  <c r="G43" i="35" s="1"/>
  <c r="C44" i="35"/>
  <c r="G44" i="35" s="1"/>
  <c r="D34" i="6"/>
  <c r="C79" i="6" s="1"/>
  <c r="D64" i="6"/>
  <c r="C77" i="6" l="1"/>
  <c r="G77" i="6" s="1"/>
  <c r="C43" i="43"/>
  <c r="G43" i="43" s="1"/>
  <c r="C44" i="43"/>
  <c r="G44" i="43" s="1"/>
  <c r="C41" i="43"/>
  <c r="G41" i="43" s="1"/>
  <c r="C40" i="43"/>
  <c r="G40" i="43" s="1"/>
  <c r="C39" i="43"/>
  <c r="G39" i="43" s="1"/>
  <c r="C38" i="43"/>
  <c r="G38" i="43" s="1"/>
  <c r="C36" i="43"/>
  <c r="G36" i="43" s="1"/>
  <c r="C35" i="43"/>
  <c r="G35" i="43" s="1"/>
  <c r="C34" i="43"/>
  <c r="G34" i="43" s="1"/>
  <c r="C31" i="43"/>
  <c r="G31" i="43" s="1"/>
  <c r="C32" i="43"/>
  <c r="G32" i="43" s="1"/>
  <c r="C30" i="43"/>
  <c r="G30" i="43" s="1"/>
  <c r="C70" i="42" l="1"/>
  <c r="G70" i="42" s="1"/>
  <c r="C69" i="42"/>
  <c r="G69" i="42" s="1"/>
  <c r="D43" i="42"/>
  <c r="C58" i="42" s="1"/>
  <c r="G58" i="42" s="1"/>
  <c r="D37" i="42"/>
  <c r="D40" i="42" s="1"/>
  <c r="D32" i="42"/>
  <c r="D27" i="42"/>
  <c r="D35" i="42" s="1"/>
  <c r="D36" i="42" s="1"/>
  <c r="D26" i="42"/>
  <c r="D24" i="42"/>
  <c r="C70" i="3"/>
  <c r="G70" i="3" s="1"/>
  <c r="D43" i="3"/>
  <c r="C69" i="41"/>
  <c r="G69" i="41" s="1"/>
  <c r="C73" i="40"/>
  <c r="G73" i="40" s="1"/>
  <c r="C73" i="39"/>
  <c r="G73" i="39" s="1"/>
  <c r="C70" i="41"/>
  <c r="G70" i="41" s="1"/>
  <c r="C67" i="41"/>
  <c r="G67" i="41" s="1"/>
  <c r="C66" i="41"/>
  <c r="G66" i="41" s="1"/>
  <c r="D45" i="41"/>
  <c r="C60" i="41" s="1"/>
  <c r="G60" i="41" s="1"/>
  <c r="D44" i="41"/>
  <c r="D29" i="41"/>
  <c r="D28" i="41"/>
  <c r="D14" i="41"/>
  <c r="C74" i="40"/>
  <c r="G74" i="40" s="1"/>
  <c r="C71" i="40"/>
  <c r="G71" i="40" s="1"/>
  <c r="C70" i="40"/>
  <c r="G70" i="40" s="1"/>
  <c r="D46" i="40"/>
  <c r="D45" i="40"/>
  <c r="D30" i="40"/>
  <c r="D14" i="40"/>
  <c r="D21" i="40" s="1"/>
  <c r="C66" i="38"/>
  <c r="G66" i="38" s="1"/>
  <c r="C57" i="42" l="1"/>
  <c r="G57" i="42" s="1"/>
  <c r="C68" i="40"/>
  <c r="G68" i="40" s="1"/>
  <c r="C69" i="40"/>
  <c r="G69" i="40" s="1"/>
  <c r="D18" i="41"/>
  <c r="D50" i="41" s="1"/>
  <c r="C63" i="40"/>
  <c r="G63" i="40" s="1"/>
  <c r="D20" i="41"/>
  <c r="D22" i="41" s="1"/>
  <c r="D46" i="41"/>
  <c r="C61" i="41" s="1"/>
  <c r="G61" i="41" s="1"/>
  <c r="C65" i="41"/>
  <c r="G65" i="41" s="1"/>
  <c r="C62" i="42"/>
  <c r="G62" i="42" s="1"/>
  <c r="C61" i="42"/>
  <c r="G61" i="42" s="1"/>
  <c r="D41" i="42"/>
  <c r="D38" i="42"/>
  <c r="D39" i="42" s="1"/>
  <c r="D46" i="42" s="1"/>
  <c r="D42" i="42"/>
  <c r="D45" i="42" s="1"/>
  <c r="D44" i="42"/>
  <c r="C64" i="42" s="1"/>
  <c r="G64" i="42" s="1"/>
  <c r="D48" i="42"/>
  <c r="C56" i="42" s="1"/>
  <c r="G56" i="42" s="1"/>
  <c r="C63" i="41"/>
  <c r="G63" i="41" s="1"/>
  <c r="D17" i="41"/>
  <c r="C64" i="41"/>
  <c r="G64" i="41" s="1"/>
  <c r="D47" i="40"/>
  <c r="C65" i="40" s="1"/>
  <c r="G65" i="40" s="1"/>
  <c r="C67" i="40"/>
  <c r="G67" i="40" s="1"/>
  <c r="D52" i="40"/>
  <c r="D20" i="40"/>
  <c r="D23" i="40"/>
  <c r="D25" i="40" s="1"/>
  <c r="C70" i="39"/>
  <c r="G70" i="39" s="1"/>
  <c r="C64" i="40" l="1"/>
  <c r="G64" i="40" s="1"/>
  <c r="C62" i="41"/>
  <c r="G62" i="41" s="1"/>
  <c r="D48" i="41"/>
  <c r="C74" i="42"/>
  <c r="G74" i="42" s="1"/>
  <c r="C76" i="42"/>
  <c r="G76" i="42" s="1"/>
  <c r="C73" i="42"/>
  <c r="G73" i="42" s="1"/>
  <c r="D47" i="42"/>
  <c r="C55" i="42" s="1"/>
  <c r="G55" i="42" s="1"/>
  <c r="C72" i="42"/>
  <c r="G72" i="42" s="1"/>
  <c r="C68" i="42"/>
  <c r="G68" i="42" s="1"/>
  <c r="C71" i="42"/>
  <c r="G71" i="42" s="1"/>
  <c r="C67" i="42"/>
  <c r="G67" i="42" s="1"/>
  <c r="C65" i="42"/>
  <c r="G65" i="42" s="1"/>
  <c r="C60" i="42"/>
  <c r="G60" i="42" s="1"/>
  <c r="C63" i="42"/>
  <c r="G63" i="42" s="1"/>
  <c r="C59" i="42"/>
  <c r="G59" i="42" s="1"/>
  <c r="D49" i="42"/>
  <c r="C75" i="42"/>
  <c r="G75" i="42" s="1"/>
  <c r="D23" i="41"/>
  <c r="D52" i="41"/>
  <c r="C58" i="41" s="1"/>
  <c r="G58" i="41" s="1"/>
  <c r="D51" i="41"/>
  <c r="C57" i="41" s="1"/>
  <c r="G57" i="41" s="1"/>
  <c r="D47" i="41"/>
  <c r="C66" i="40"/>
  <c r="G66" i="40" s="1"/>
  <c r="D50" i="40"/>
  <c r="D48" i="40"/>
  <c r="D26" i="40"/>
  <c r="D54" i="40"/>
  <c r="D53" i="40"/>
  <c r="C60" i="40" s="1"/>
  <c r="D49" i="40"/>
  <c r="C70" i="38"/>
  <c r="G70" i="38" s="1"/>
  <c r="C69" i="38"/>
  <c r="G69" i="38" s="1"/>
  <c r="C74" i="39"/>
  <c r="G74" i="39" s="1"/>
  <c r="C61" i="40" l="1"/>
  <c r="G61" i="40" s="1"/>
  <c r="G60" i="40"/>
  <c r="C54" i="42"/>
  <c r="G54" i="42"/>
  <c r="C59" i="41"/>
  <c r="G59" i="41" s="1"/>
  <c r="D49" i="41"/>
  <c r="C56" i="41" s="1"/>
  <c r="C68" i="41"/>
  <c r="G68" i="41" s="1"/>
  <c r="D51" i="40"/>
  <c r="C59" i="40" s="1"/>
  <c r="C72" i="40"/>
  <c r="G72" i="40" s="1"/>
  <c r="C71" i="39"/>
  <c r="G71" i="39" s="1"/>
  <c r="D46" i="39"/>
  <c r="D45" i="39"/>
  <c r="D30" i="39"/>
  <c r="D14" i="39"/>
  <c r="C67" i="38"/>
  <c r="G67" i="38" s="1"/>
  <c r="D45" i="38"/>
  <c r="D44" i="38"/>
  <c r="D29" i="38"/>
  <c r="D28" i="38"/>
  <c r="D14" i="38"/>
  <c r="C62" i="40" l="1"/>
  <c r="G62" i="40" s="1"/>
  <c r="G59" i="40"/>
  <c r="G56" i="41"/>
  <c r="C69" i="39"/>
  <c r="G69" i="39" s="1"/>
  <c r="D47" i="39"/>
  <c r="C63" i="39"/>
  <c r="G63" i="39" s="1"/>
  <c r="C65" i="38"/>
  <c r="G65" i="38" s="1"/>
  <c r="D46" i="38"/>
  <c r="C60" i="38"/>
  <c r="G60" i="38" s="1"/>
  <c r="C64" i="38"/>
  <c r="G64" i="38" s="1"/>
  <c r="C63" i="38"/>
  <c r="G63" i="38" s="1"/>
  <c r="C67" i="39"/>
  <c r="G67" i="39" s="1"/>
  <c r="C68" i="39"/>
  <c r="G68" i="39" s="1"/>
  <c r="D20" i="39"/>
  <c r="D23" i="39"/>
  <c r="D25" i="39" s="1"/>
  <c r="D21" i="39"/>
  <c r="D52" i="39" s="1"/>
  <c r="D20" i="38"/>
  <c r="D22" i="38" s="1"/>
  <c r="D17" i="38"/>
  <c r="D18" i="38"/>
  <c r="D50" i="38" s="1"/>
  <c r="C66" i="39" l="1"/>
  <c r="G66" i="39" s="1"/>
  <c r="C65" i="39"/>
  <c r="G65" i="39" s="1"/>
  <c r="C64" i="39"/>
  <c r="G64" i="39" s="1"/>
  <c r="D54" i="39"/>
  <c r="D26" i="39"/>
  <c r="D53" i="39"/>
  <c r="C60" i="39" s="1"/>
  <c r="G60" i="39" s="1"/>
  <c r="D49" i="39"/>
  <c r="D48" i="39"/>
  <c r="D50" i="39"/>
  <c r="D23" i="38"/>
  <c r="D52" i="38"/>
  <c r="C61" i="38"/>
  <c r="G61" i="38" s="1"/>
  <c r="C62" i="38"/>
  <c r="G62" i="38" s="1"/>
  <c r="D48" i="38"/>
  <c r="D51" i="38"/>
  <c r="C57" i="38" s="1"/>
  <c r="G57" i="38" s="1"/>
  <c r="D47" i="38"/>
  <c r="C36" i="27"/>
  <c r="G36" i="27" s="1"/>
  <c r="I36" i="27" s="1"/>
  <c r="C35" i="27"/>
  <c r="G35" i="27" s="1"/>
  <c r="I35" i="27" s="1"/>
  <c r="C34" i="27"/>
  <c r="G34" i="27" s="1"/>
  <c r="I34" i="27" s="1"/>
  <c r="C32" i="27"/>
  <c r="G32" i="27" s="1"/>
  <c r="I32" i="27" s="1"/>
  <c r="C31" i="27"/>
  <c r="G31" i="27" s="1"/>
  <c r="I31" i="27" s="1"/>
  <c r="D11" i="27"/>
  <c r="C24" i="27" s="1"/>
  <c r="G24" i="27" s="1"/>
  <c r="I24" i="27" s="1"/>
  <c r="C29" i="27"/>
  <c r="G29" i="27" s="1"/>
  <c r="I29" i="27" s="1"/>
  <c r="C41" i="37"/>
  <c r="G41" i="37" s="1"/>
  <c r="C43" i="37"/>
  <c r="G43" i="37" s="1"/>
  <c r="C42" i="37"/>
  <c r="G42" i="37" s="1"/>
  <c r="C39" i="37"/>
  <c r="G39" i="37" s="1"/>
  <c r="C38" i="37"/>
  <c r="G38" i="37" s="1"/>
  <c r="G36" i="37"/>
  <c r="I36" i="37" s="1"/>
  <c r="G35" i="37"/>
  <c r="I35" i="37" s="1"/>
  <c r="G34" i="37"/>
  <c r="I34" i="37" s="1"/>
  <c r="G32" i="37"/>
  <c r="I32" i="37" s="1"/>
  <c r="C28" i="37"/>
  <c r="G28" i="37" s="1"/>
  <c r="I28" i="37" s="1"/>
  <c r="D11" i="37"/>
  <c r="C27" i="37" l="1"/>
  <c r="G27" i="37" s="1"/>
  <c r="I27" i="37" s="1"/>
  <c r="C25" i="37"/>
  <c r="G25" i="37" s="1"/>
  <c r="I25" i="37" s="1"/>
  <c r="C58" i="38"/>
  <c r="C72" i="39"/>
  <c r="G72" i="39" s="1"/>
  <c r="D51" i="39"/>
  <c r="C59" i="39" s="1"/>
  <c r="C61" i="39"/>
  <c r="D49" i="38"/>
  <c r="C56" i="38" s="1"/>
  <c r="C68" i="38"/>
  <c r="G68" i="38" s="1"/>
  <c r="C26" i="37"/>
  <c r="G26" i="37" s="1"/>
  <c r="I26" i="37" s="1"/>
  <c r="C24" i="37"/>
  <c r="G24" i="37" s="1"/>
  <c r="I24" i="37" s="1"/>
  <c r="C29" i="37"/>
  <c r="G29" i="37" s="1"/>
  <c r="I29" i="37" s="1"/>
  <c r="C23" i="37"/>
  <c r="G23" i="37" s="1"/>
  <c r="I23" i="37" s="1"/>
  <c r="D26" i="36"/>
  <c r="C59" i="38" l="1"/>
  <c r="G59" i="38" s="1"/>
  <c r="G58" i="38"/>
  <c r="G56" i="38"/>
  <c r="C62" i="39"/>
  <c r="G62" i="39" s="1"/>
  <c r="G61" i="39"/>
  <c r="G59" i="39"/>
  <c r="D38" i="36"/>
  <c r="C50" i="36" l="1"/>
  <c r="G50" i="36"/>
  <c r="C51" i="36"/>
  <c r="D39" i="36"/>
  <c r="D40" i="36"/>
  <c r="C65" i="36"/>
  <c r="G65" i="36" s="1"/>
  <c r="C49" i="36" l="1"/>
  <c r="G49" i="36" s="1"/>
  <c r="F82" i="36" l="1"/>
  <c r="D35" i="36"/>
  <c r="C60" i="36"/>
  <c r="G60" i="36" s="1"/>
  <c r="D41" i="36"/>
  <c r="C61" i="36" s="1"/>
  <c r="G61" i="36" s="1"/>
  <c r="D30" i="36"/>
  <c r="D32" i="36"/>
  <c r="C70" i="36" l="1"/>
  <c r="G70" i="36" s="1"/>
  <c r="C69" i="36"/>
  <c r="G69" i="36" s="1"/>
  <c r="D34" i="36"/>
  <c r="C63" i="36" s="1"/>
  <c r="G63" i="36" s="1"/>
  <c r="D24" i="35"/>
  <c r="D23" i="35"/>
  <c r="D25" i="35" s="1"/>
  <c r="C53" i="36" l="1"/>
  <c r="G53" i="36" s="1"/>
  <c r="C54" i="36"/>
  <c r="G54" i="36" s="1"/>
  <c r="D36" i="36"/>
  <c r="C34" i="35"/>
  <c r="G34" i="35" s="1"/>
  <c r="C35" i="35"/>
  <c r="G35" i="35" s="1"/>
  <c r="C55" i="36" l="1"/>
  <c r="G55" i="36"/>
  <c r="D31" i="36"/>
  <c r="C75" i="36" s="1"/>
  <c r="G75" i="36" s="1"/>
  <c r="C51" i="26"/>
  <c r="G51" i="26" s="1"/>
  <c r="H36" i="34"/>
  <c r="J36" i="34" s="1"/>
  <c r="H35" i="34"/>
  <c r="J35" i="34" s="1"/>
  <c r="H34" i="34"/>
  <c r="J34" i="34" s="1"/>
  <c r="H32" i="34"/>
  <c r="J32" i="34" s="1"/>
  <c r="C84" i="36" l="1"/>
  <c r="G84" i="36" s="1"/>
  <c r="C73" i="36"/>
  <c r="G73" i="36" s="1"/>
  <c r="C74" i="36"/>
  <c r="G74" i="36" s="1"/>
  <c r="C77" i="36"/>
  <c r="G77" i="36" s="1"/>
  <c r="C76" i="36"/>
  <c r="G76" i="36" s="1"/>
  <c r="C82" i="36"/>
  <c r="G82" i="36" s="1"/>
  <c r="C79" i="36"/>
  <c r="G79" i="36" s="1"/>
  <c r="C80" i="36"/>
  <c r="G80" i="36" s="1"/>
  <c r="C43" i="26"/>
  <c r="G43" i="26" s="1"/>
  <c r="H29" i="34"/>
  <c r="J29" i="34" s="1"/>
  <c r="D11" i="34"/>
  <c r="C24" i="34" s="1"/>
  <c r="H24" i="34" s="1"/>
  <c r="J24" i="34" s="1"/>
  <c r="C43" i="34"/>
  <c r="H43" i="34" s="1"/>
  <c r="C42" i="34"/>
  <c r="H42" i="34" s="1"/>
  <c r="C41" i="34"/>
  <c r="H41" i="34" s="1"/>
  <c r="C39" i="34"/>
  <c r="H39" i="34" s="1"/>
  <c r="C38" i="34"/>
  <c r="H38" i="34" s="1"/>
  <c r="C40" i="27"/>
  <c r="G40" i="27" s="1"/>
  <c r="C38" i="27"/>
  <c r="G38" i="27" s="1"/>
  <c r="C27" i="27"/>
  <c r="G27" i="27" s="1"/>
  <c r="I27" i="27" s="1"/>
  <c r="C26" i="27"/>
  <c r="G26" i="27" s="1"/>
  <c r="I26" i="27" s="1"/>
  <c r="C25" i="27"/>
  <c r="G25" i="27" s="1"/>
  <c r="I25" i="27" s="1"/>
  <c r="C23" i="27"/>
  <c r="G23" i="27" s="1"/>
  <c r="I23" i="27" s="1"/>
  <c r="C22" i="27"/>
  <c r="G22" i="27" s="1"/>
  <c r="I22" i="27" s="1"/>
  <c r="C22" i="34" l="1"/>
  <c r="H22" i="34" s="1"/>
  <c r="J22" i="34" s="1"/>
  <c r="C23" i="34"/>
  <c r="H23" i="34" s="1"/>
  <c r="J23" i="34" s="1"/>
  <c r="C25" i="34"/>
  <c r="H25" i="34" s="1"/>
  <c r="J25" i="34" s="1"/>
  <c r="C26" i="34"/>
  <c r="H26" i="34" s="1"/>
  <c r="J26" i="34" s="1"/>
  <c r="C27" i="34"/>
  <c r="H27" i="34" s="1"/>
  <c r="J27" i="34" s="1"/>
  <c r="C64" i="28" l="1"/>
  <c r="G64" i="28" s="1"/>
  <c r="C54" i="28"/>
  <c r="G54" i="28" s="1"/>
  <c r="C51" i="28"/>
  <c r="G51" i="28" s="1"/>
  <c r="C49" i="28"/>
  <c r="G49" i="28" s="1"/>
  <c r="C48" i="28"/>
  <c r="G48" i="28" s="1"/>
  <c r="C55" i="28"/>
  <c r="G55" i="28" s="1"/>
  <c r="C52" i="21" l="1"/>
  <c r="G52" i="21" s="1"/>
  <c r="C50" i="21"/>
  <c r="G50" i="21" s="1"/>
  <c r="C56" i="30" l="1"/>
  <c r="C55" i="19"/>
  <c r="G55" i="19" s="1"/>
  <c r="C50" i="19"/>
  <c r="G50" i="19" s="1"/>
  <c r="C48" i="19"/>
  <c r="G48" i="19" s="1"/>
  <c r="C31" i="15"/>
  <c r="G31" i="15" s="1"/>
  <c r="C26" i="15"/>
  <c r="G26" i="15" s="1"/>
  <c r="G56" i="30" l="1"/>
  <c r="C30" i="23"/>
  <c r="C29" i="23"/>
  <c r="C39" i="31"/>
  <c r="G39" i="31" s="1"/>
  <c r="C26" i="14"/>
  <c r="G26" i="14" s="1"/>
  <c r="C23" i="13"/>
  <c r="G23" i="13" s="1"/>
  <c r="G29" i="23" l="1"/>
  <c r="G30" i="23"/>
  <c r="D16" i="29"/>
  <c r="C64" i="29" s="1"/>
  <c r="G64" i="29" s="1"/>
  <c r="C91" i="33" l="1"/>
  <c r="G91" i="33" s="1"/>
  <c r="C89" i="33"/>
  <c r="G89" i="33" s="1"/>
  <c r="C88" i="33"/>
  <c r="G88" i="33" s="1"/>
  <c r="C87" i="33"/>
  <c r="G87" i="33" s="1"/>
  <c r="D17" i="33"/>
  <c r="D14" i="33" l="1"/>
  <c r="D69" i="33" s="1"/>
  <c r="D12" i="33"/>
  <c r="D10" i="31"/>
  <c r="D26" i="31" s="1"/>
  <c r="C37" i="31"/>
  <c r="G37" i="31" s="1"/>
  <c r="C74" i="28"/>
  <c r="G74" i="28" s="1"/>
  <c r="G45" i="28"/>
  <c r="C65" i="32"/>
  <c r="D41" i="32"/>
  <c r="D42" i="32" s="1"/>
  <c r="D35" i="32"/>
  <c r="D30" i="32"/>
  <c r="D25" i="32"/>
  <c r="D33" i="32" s="1"/>
  <c r="D34" i="32" s="1"/>
  <c r="D24" i="32"/>
  <c r="D22" i="32"/>
  <c r="C36" i="31"/>
  <c r="G36" i="31" s="1"/>
  <c r="C35" i="31"/>
  <c r="G35" i="31" s="1"/>
  <c r="C34" i="31"/>
  <c r="G34" i="31" s="1"/>
  <c r="C33" i="31"/>
  <c r="G33" i="31" s="1"/>
  <c r="D8" i="31"/>
  <c r="C51" i="21"/>
  <c r="G51" i="21" s="1"/>
  <c r="C47" i="21"/>
  <c r="G47" i="21" s="1"/>
  <c r="C46" i="21"/>
  <c r="G46" i="21" s="1"/>
  <c r="D13" i="21"/>
  <c r="D12" i="21"/>
  <c r="D8" i="21"/>
  <c r="D40" i="32" l="1"/>
  <c r="G65" i="32"/>
  <c r="D38" i="32"/>
  <c r="D39" i="32" s="1"/>
  <c r="C61" i="32"/>
  <c r="C62" i="28"/>
  <c r="G62" i="28" s="1"/>
  <c r="D7" i="21"/>
  <c r="C48" i="21" s="1"/>
  <c r="G48" i="21" s="1"/>
  <c r="D70" i="33"/>
  <c r="D51" i="33"/>
  <c r="D59" i="33" s="1"/>
  <c r="D18" i="33"/>
  <c r="C86" i="33" s="1"/>
  <c r="G86" i="33" s="1"/>
  <c r="D46" i="32"/>
  <c r="C54" i="32" s="1"/>
  <c r="G54" i="32" s="1"/>
  <c r="C55" i="32"/>
  <c r="G55" i="32" s="1"/>
  <c r="C56" i="32"/>
  <c r="G56" i="32" s="1"/>
  <c r="C60" i="32"/>
  <c r="C59" i="32"/>
  <c r="C58" i="32"/>
  <c r="C62" i="32"/>
  <c r="D47" i="32"/>
  <c r="D36" i="32"/>
  <c r="D37" i="32" s="1"/>
  <c r="D44" i="32" s="1"/>
  <c r="C57" i="32"/>
  <c r="D27" i="31"/>
  <c r="C31" i="31" s="1"/>
  <c r="G31" i="31" s="1"/>
  <c r="D33" i="21" l="1"/>
  <c r="C45" i="21" s="1"/>
  <c r="G45" i="21" s="1"/>
  <c r="D58" i="33"/>
  <c r="C44" i="21"/>
  <c r="G44" i="21" s="1"/>
  <c r="D43" i="32"/>
  <c r="C63" i="32"/>
  <c r="C64" i="32"/>
  <c r="G58" i="32"/>
  <c r="G61" i="32"/>
  <c r="G59" i="32"/>
  <c r="C52" i="32"/>
  <c r="G52" i="32"/>
  <c r="G57" i="32"/>
  <c r="G62" i="32"/>
  <c r="G60" i="32"/>
  <c r="C59" i="28"/>
  <c r="G59" i="28" s="1"/>
  <c r="C57" i="28"/>
  <c r="G57" i="28" s="1"/>
  <c r="C60" i="28"/>
  <c r="G60" i="28" s="1"/>
  <c r="C56" i="28"/>
  <c r="G56" i="28" s="1"/>
  <c r="C61" i="28"/>
  <c r="G61" i="28" s="1"/>
  <c r="C58" i="28"/>
  <c r="G58" i="28" s="1"/>
  <c r="D34" i="21"/>
  <c r="C42" i="21" s="1"/>
  <c r="G42" i="21" s="1"/>
  <c r="D52" i="33"/>
  <c r="D48" i="33" s="1"/>
  <c r="C95" i="33" s="1"/>
  <c r="G95" i="33" s="1"/>
  <c r="C66" i="32"/>
  <c r="G66" i="32" s="1"/>
  <c r="D45" i="32"/>
  <c r="C53" i="32" s="1"/>
  <c r="G53" i="32" s="1"/>
  <c r="C69" i="32"/>
  <c r="G69" i="32" s="1"/>
  <c r="C68" i="32"/>
  <c r="G68" i="32" s="1"/>
  <c r="C67" i="32"/>
  <c r="G67" i="32" s="1"/>
  <c r="G64" i="32" l="1"/>
  <c r="G63" i="32"/>
  <c r="D57" i="33"/>
  <c r="D62" i="33" s="1"/>
  <c r="D49" i="33"/>
  <c r="C104" i="33" s="1"/>
  <c r="G104" i="33" s="1"/>
  <c r="C83" i="33"/>
  <c r="G83" i="33" s="1"/>
  <c r="C77" i="33"/>
  <c r="G77" i="33" s="1"/>
  <c r="C82" i="33"/>
  <c r="G82" i="33" s="1"/>
  <c r="C93" i="33"/>
  <c r="G93" i="33" s="1"/>
  <c r="C96" i="33"/>
  <c r="G96" i="33" s="1"/>
  <c r="D54" i="33"/>
  <c r="D55" i="33" s="1"/>
  <c r="C97" i="33"/>
  <c r="G97" i="33" s="1"/>
  <c r="C103" i="33"/>
  <c r="G103" i="33" s="1"/>
  <c r="C105" i="33"/>
  <c r="G105" i="33" s="1"/>
  <c r="D61" i="33"/>
  <c r="D65" i="33" s="1"/>
  <c r="C98" i="33" l="1"/>
  <c r="G98" i="33" s="1"/>
  <c r="C99" i="33"/>
  <c r="G99" i="33" s="1"/>
  <c r="C101" i="33"/>
  <c r="G101" i="33" s="1"/>
  <c r="C78" i="33"/>
  <c r="G78" i="33" s="1"/>
  <c r="D66" i="33"/>
  <c r="D67" i="33"/>
  <c r="D63" i="33"/>
  <c r="C58" i="30"/>
  <c r="D27" i="30"/>
  <c r="C54" i="30" s="1"/>
  <c r="C53" i="30"/>
  <c r="D23" i="30"/>
  <c r="C51" i="30" s="1"/>
  <c r="D21" i="30"/>
  <c r="C49" i="30" s="1"/>
  <c r="D19" i="30"/>
  <c r="C47" i="30" s="1"/>
  <c r="D18" i="30"/>
  <c r="C46" i="30" s="1"/>
  <c r="D17" i="30"/>
  <c r="C45" i="30" s="1"/>
  <c r="D16" i="30"/>
  <c r="C44" i="30" s="1"/>
  <c r="D12" i="30"/>
  <c r="D37" i="30" s="1"/>
  <c r="D10" i="30"/>
  <c r="C70" i="28"/>
  <c r="G70" i="28" s="1"/>
  <c r="C68" i="28"/>
  <c r="G68" i="28" s="1"/>
  <c r="C67" i="28"/>
  <c r="G67" i="28" s="1"/>
  <c r="G43" i="28"/>
  <c r="G39" i="28"/>
  <c r="D15" i="28"/>
  <c r="C42" i="28" s="1"/>
  <c r="D15" i="29"/>
  <c r="C81" i="28"/>
  <c r="G81" i="28" s="1"/>
  <c r="C80" i="28"/>
  <c r="G80" i="28" s="1"/>
  <c r="C78" i="28"/>
  <c r="G78" i="28" s="1"/>
  <c r="C77" i="28"/>
  <c r="G77" i="28" s="1"/>
  <c r="D14" i="28"/>
  <c r="G25" i="15"/>
  <c r="G24" i="15"/>
  <c r="G23" i="15"/>
  <c r="D17" i="15"/>
  <c r="C29" i="15" s="1"/>
  <c r="G29" i="15" s="1"/>
  <c r="C25" i="14"/>
  <c r="G25" i="14" s="1"/>
  <c r="C24" i="14"/>
  <c r="G24" i="14" s="1"/>
  <c r="C22" i="14"/>
  <c r="G22" i="14" s="1"/>
  <c r="C21" i="14"/>
  <c r="G21" i="14" s="1"/>
  <c r="C20" i="14"/>
  <c r="G20" i="14" s="1"/>
  <c r="C26" i="23"/>
  <c r="C27" i="23"/>
  <c r="C25" i="23"/>
  <c r="G25" i="23" s="1"/>
  <c r="C24" i="23"/>
  <c r="C22" i="13"/>
  <c r="G22" i="13" s="1"/>
  <c r="C21" i="13"/>
  <c r="G21" i="13" s="1"/>
  <c r="C19" i="13"/>
  <c r="G19" i="13" s="1"/>
  <c r="C18" i="13"/>
  <c r="G18" i="13" s="1"/>
  <c r="D9" i="13"/>
  <c r="C50" i="30" l="1"/>
  <c r="G50" i="30" s="1"/>
  <c r="D38" i="30"/>
  <c r="C42" i="30" s="1"/>
  <c r="D26" i="30"/>
  <c r="C52" i="30" s="1"/>
  <c r="G52" i="30" s="1"/>
  <c r="G27" i="23"/>
  <c r="G26" i="23"/>
  <c r="G24" i="23"/>
  <c r="G51" i="30"/>
  <c r="G54" i="30"/>
  <c r="G53" i="30"/>
  <c r="G45" i="30"/>
  <c r="G58" i="30"/>
  <c r="G42" i="30"/>
  <c r="G47" i="30"/>
  <c r="G46" i="30"/>
  <c r="G44" i="30"/>
  <c r="G49" i="30"/>
  <c r="C28" i="15"/>
  <c r="G28" i="15" s="1"/>
  <c r="C30" i="15"/>
  <c r="G30" i="15" s="1"/>
  <c r="G42" i="28"/>
  <c r="C52" i="28"/>
  <c r="G52" i="28" s="1"/>
  <c r="C71" i="28"/>
  <c r="G71" i="28" s="1"/>
  <c r="D17" i="29"/>
  <c r="D18" i="29" s="1"/>
  <c r="D16" i="28"/>
  <c r="D17" i="28" s="1"/>
  <c r="C65" i="29" l="1"/>
  <c r="G65" i="29" s="1"/>
  <c r="C55" i="29"/>
  <c r="G55" i="29" s="1"/>
  <c r="C44" i="29"/>
  <c r="G44" i="29" s="1"/>
  <c r="C53" i="28"/>
  <c r="G53" i="28" s="1"/>
  <c r="C72" i="28"/>
  <c r="G72" i="28" s="1"/>
  <c r="D36" i="19"/>
  <c r="C57" i="19"/>
  <c r="G57" i="19" s="1"/>
  <c r="C49" i="19"/>
  <c r="G49" i="19" s="1"/>
  <c r="C52" i="19"/>
  <c r="G52" i="19" s="1"/>
  <c r="C51" i="19"/>
  <c r="G51" i="19" s="1"/>
  <c r="C46" i="19" l="1"/>
  <c r="G46" i="19" s="1"/>
  <c r="C45" i="19"/>
  <c r="G45" i="19" s="1"/>
  <c r="C44" i="19"/>
  <c r="G44" i="19" s="1"/>
  <c r="C43" i="19"/>
  <c r="G43" i="19" s="1"/>
  <c r="D10" i="19" l="1"/>
  <c r="D37" i="19" s="1"/>
  <c r="C41" i="19" s="1"/>
  <c r="G41" i="19" s="1"/>
  <c r="D34" i="26" l="1"/>
  <c r="D33" i="26"/>
  <c r="C56" i="26" s="1"/>
  <c r="G56" i="26" s="1"/>
  <c r="D32" i="26"/>
  <c r="C55" i="26" s="1"/>
  <c r="G55" i="26" s="1"/>
  <c r="D31" i="26"/>
  <c r="C54" i="26" s="1"/>
  <c r="G54" i="26" s="1"/>
  <c r="D30" i="26"/>
  <c r="C53" i="26" s="1"/>
  <c r="G53" i="26" s="1"/>
  <c r="D29" i="26"/>
  <c r="D28" i="26"/>
  <c r="D27" i="26"/>
  <c r="C58" i="26" s="1"/>
  <c r="G58" i="26" s="1"/>
  <c r="C42" i="26" l="1"/>
  <c r="G42" i="26" s="1"/>
  <c r="C40" i="26"/>
  <c r="G40" i="26" s="1"/>
  <c r="C50" i="26"/>
  <c r="G50" i="26" s="1"/>
  <c r="C47" i="26"/>
  <c r="G47" i="26" s="1"/>
  <c r="C46" i="26"/>
  <c r="G46" i="26" s="1"/>
  <c r="C48" i="26"/>
  <c r="G48" i="26" s="1"/>
  <c r="C38" i="26"/>
  <c r="G38" i="26" s="1"/>
  <c r="C49" i="26"/>
  <c r="G49" i="26" s="1"/>
  <c r="C45" i="26"/>
  <c r="G45" i="26" s="1"/>
  <c r="C39" i="26"/>
  <c r="G39" i="26" s="1"/>
  <c r="C41" i="26"/>
  <c r="G41" i="26" s="1"/>
  <c r="D42" i="10" l="1"/>
  <c r="D36" i="10"/>
  <c r="D39" i="10" s="1"/>
  <c r="D30" i="10"/>
  <c r="D25" i="10"/>
  <c r="D34" i="10" s="1"/>
  <c r="D35" i="10" s="1"/>
  <c r="D24" i="10"/>
  <c r="D22" i="10"/>
  <c r="C61" i="10" l="1"/>
  <c r="G61" i="10" s="1"/>
  <c r="D41" i="10"/>
  <c r="D37" i="10"/>
  <c r="C64" i="10"/>
  <c r="G64" i="10" s="1"/>
  <c r="C65" i="10"/>
  <c r="G65" i="10" s="1"/>
  <c r="D44" i="10"/>
  <c r="C68" i="10" s="1"/>
  <c r="G68" i="10" s="1"/>
  <c r="D50" i="10"/>
  <c r="C59" i="10" s="1"/>
  <c r="G59" i="10" s="1"/>
  <c r="D40" i="10"/>
  <c r="C71" i="10" s="1"/>
  <c r="G71" i="10" s="1"/>
  <c r="C60" i="10"/>
  <c r="G60" i="10" s="1"/>
  <c r="D38" i="10" l="1"/>
  <c r="D46" i="10" s="1"/>
  <c r="D48" i="10"/>
  <c r="C57" i="10" s="1"/>
  <c r="G57" i="10" s="1"/>
  <c r="D45" i="10"/>
  <c r="D51" i="10"/>
  <c r="C66" i="10"/>
  <c r="G66" i="10" s="1"/>
  <c r="C62" i="10"/>
  <c r="G62" i="10" s="1"/>
  <c r="C67" i="10"/>
  <c r="G67" i="10" s="1"/>
  <c r="C63" i="10"/>
  <c r="G63" i="10" s="1"/>
  <c r="C72" i="10"/>
  <c r="G72" i="10" s="1"/>
  <c r="C69" i="10"/>
  <c r="G69" i="10" s="1"/>
  <c r="C73" i="10"/>
  <c r="G73" i="10" s="1"/>
  <c r="C70" i="10"/>
  <c r="G70" i="10" s="1"/>
  <c r="D27" i="3"/>
  <c r="C56" i="10" l="1"/>
  <c r="G56" i="10"/>
  <c r="D49" i="10"/>
  <c r="C58" i="10" s="1"/>
  <c r="G58" i="10" s="1"/>
  <c r="C57" i="3"/>
  <c r="G57" i="3" s="1"/>
  <c r="D44" i="3"/>
  <c r="C58" i="3"/>
  <c r="G58" i="3" s="1"/>
  <c r="D43" i="6"/>
  <c r="D37" i="3"/>
  <c r="C64" i="3" l="1"/>
  <c r="G64" i="3" s="1"/>
  <c r="C65" i="3"/>
  <c r="G65" i="3" s="1"/>
  <c r="C63" i="3"/>
  <c r="G63" i="3" s="1"/>
  <c r="D49" i="3"/>
  <c r="G54" i="3" s="1"/>
  <c r="C59" i="3"/>
  <c r="G59" i="3" s="1"/>
  <c r="C60" i="3"/>
  <c r="G60" i="3" s="1"/>
  <c r="C69" i="3"/>
  <c r="G69" i="3" s="1"/>
  <c r="D40" i="3"/>
  <c r="D41" i="3" s="1"/>
  <c r="D38" i="3"/>
  <c r="D39" i="3" s="1"/>
  <c r="D35" i="3"/>
  <c r="D36" i="3" s="1"/>
  <c r="D32" i="3"/>
  <c r="D26" i="3"/>
  <c r="D24" i="3"/>
  <c r="C76" i="3" l="1"/>
  <c r="G76" i="3" s="1"/>
  <c r="C73" i="3"/>
  <c r="G73" i="3" s="1"/>
  <c r="C71" i="3"/>
  <c r="G71" i="3" s="1"/>
  <c r="C67" i="3"/>
  <c r="G67" i="3" s="1"/>
  <c r="C68" i="3"/>
  <c r="G68" i="3" s="1"/>
  <c r="C74" i="3"/>
  <c r="G74" i="3" s="1"/>
  <c r="C61" i="3"/>
  <c r="G61" i="3" s="1"/>
  <c r="C62" i="3"/>
  <c r="G62" i="3" s="1"/>
  <c r="D48" i="3"/>
  <c r="C56" i="3" s="1"/>
  <c r="G56" i="3" s="1"/>
  <c r="C72" i="3"/>
  <c r="G72" i="3" s="1"/>
  <c r="C75" i="3"/>
  <c r="G75" i="3" s="1"/>
  <c r="D46" i="3"/>
  <c r="D42" i="3"/>
  <c r="D45" i="3" s="1"/>
  <c r="C54" i="3"/>
  <c r="D47" i="3" l="1"/>
  <c r="C55" i="3" s="1"/>
  <c r="G55" i="3" s="1"/>
  <c r="D45" i="6" l="1"/>
  <c r="D63" i="6" l="1"/>
  <c r="D53" i="6"/>
  <c r="D46" i="6"/>
  <c r="D41" i="6" s="1"/>
  <c r="C72" i="6" s="1"/>
  <c r="G72" i="6" s="1"/>
  <c r="C70" i="6" l="1"/>
  <c r="G70" i="6"/>
  <c r="C73" i="6"/>
  <c r="G73" i="6" s="1"/>
  <c r="C75" i="6"/>
  <c r="G75" i="6" s="1"/>
  <c r="C96" i="6"/>
  <c r="G96" i="6" s="1"/>
  <c r="C98" i="6"/>
  <c r="G98" i="6" s="1"/>
  <c r="D42" i="6"/>
  <c r="D51" i="6"/>
  <c r="D48" i="6"/>
  <c r="D49" i="6" s="1"/>
  <c r="D52" i="6"/>
  <c r="C97" i="6" l="1"/>
  <c r="G97" i="6" s="1"/>
  <c r="C93" i="6"/>
  <c r="G93" i="6" s="1"/>
  <c r="C86" i="6"/>
  <c r="G86" i="6" s="1"/>
  <c r="C94" i="6"/>
  <c r="G94" i="6" s="1"/>
  <c r="C88" i="6"/>
  <c r="G88" i="6" s="1"/>
  <c r="C85" i="6"/>
  <c r="G85" i="6" s="1"/>
  <c r="C87" i="6"/>
  <c r="G87" i="6" s="1"/>
  <c r="C84" i="6"/>
  <c r="G84" i="6" s="1"/>
  <c r="D55" i="6"/>
  <c r="D59" i="6" s="1"/>
  <c r="C76" i="6" s="1"/>
  <c r="G76" i="6" s="1"/>
  <c r="D56" i="6"/>
  <c r="D61" i="6" l="1"/>
  <c r="D57" i="6"/>
  <c r="D60" i="6"/>
</calcChain>
</file>

<file path=xl/comments1.xml><?xml version="1.0" encoding="utf-8"?>
<comments xmlns="http://schemas.openxmlformats.org/spreadsheetml/2006/main">
  <authors>
    <author>tc={6E99EFC5-25CE-4AA3-ABFA-714B6683053B}</author>
  </authors>
  <commentList>
    <comment ref="G21" authorId="0" shapeId="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Alle hoeveelheden schalen lineair met de lengte van het traject.</t>
        </r>
      </text>
    </comment>
  </commentList>
</comments>
</file>

<file path=xl/comments2.xml><?xml version="1.0" encoding="utf-8"?>
<comments xmlns="http://schemas.openxmlformats.org/spreadsheetml/2006/main">
  <authors>
    <author>Bas Mentink</author>
  </authors>
  <commentList>
    <comment ref="D20" authorId="0" shapeId="0">
      <text>
        <r>
          <rPr>
            <b/>
            <sz val="9"/>
            <color indexed="81"/>
            <rFont val="Tahoma"/>
            <family val="2"/>
          </rPr>
          <t>Bas Mentink:</t>
        </r>
        <r>
          <rPr>
            <sz val="9"/>
            <color indexed="81"/>
            <rFont val="Tahoma"/>
            <family val="2"/>
          </rPr>
          <t xml:space="preserve">
Wat betekent dit precies?</t>
        </r>
      </text>
    </comment>
  </commentList>
</comments>
</file>

<file path=xl/comments3.xml><?xml version="1.0" encoding="utf-8"?>
<comments xmlns="http://schemas.openxmlformats.org/spreadsheetml/2006/main">
  <authors>
    <author>Bas Mentink</author>
  </authors>
  <commentList>
    <comment ref="D22" authorId="0" shapeId="0">
      <text>
        <r>
          <rPr>
            <b/>
            <sz val="9"/>
            <color indexed="81"/>
            <rFont val="Tahoma"/>
            <family val="2"/>
          </rPr>
          <t>Bas Mentink:</t>
        </r>
        <r>
          <rPr>
            <sz val="9"/>
            <color indexed="81"/>
            <rFont val="Tahoma"/>
            <family val="2"/>
          </rPr>
          <t xml:space="preserve">
Wat betekent dit precies?</t>
        </r>
      </text>
    </comment>
  </commentList>
</comments>
</file>

<file path=xl/comments4.xml><?xml version="1.0" encoding="utf-8"?>
<comments xmlns="http://schemas.openxmlformats.org/spreadsheetml/2006/main">
  <authors>
    <author>Bas Mentink</author>
  </authors>
  <commentList>
    <comment ref="D22" authorId="0" shapeId="0">
      <text>
        <r>
          <rPr>
            <b/>
            <sz val="9"/>
            <color indexed="81"/>
            <rFont val="Tahoma"/>
            <family val="2"/>
          </rPr>
          <t>Bas Mentink:</t>
        </r>
        <r>
          <rPr>
            <sz val="9"/>
            <color indexed="81"/>
            <rFont val="Tahoma"/>
            <family val="2"/>
          </rPr>
          <t xml:space="preserve">
Wat betekent dit precies?</t>
        </r>
      </text>
    </comment>
  </commentList>
</comments>
</file>

<file path=xl/comments5.xml><?xml version="1.0" encoding="utf-8"?>
<comments xmlns="http://schemas.openxmlformats.org/spreadsheetml/2006/main">
  <authors>
    <author>Bas Mentink</author>
  </authors>
  <commentList>
    <comment ref="D19" authorId="0" shapeId="0">
      <text>
        <r>
          <rPr>
            <b/>
            <sz val="9"/>
            <color indexed="81"/>
            <rFont val="Tahoma"/>
            <family val="2"/>
          </rPr>
          <t>Bas Mentink:</t>
        </r>
        <r>
          <rPr>
            <sz val="9"/>
            <color indexed="81"/>
            <rFont val="Tahoma"/>
            <family val="2"/>
          </rPr>
          <t xml:space="preserve">
Wat betekent dit precies?</t>
        </r>
      </text>
    </comment>
  </commentList>
</comments>
</file>

<file path=xl/comments6.xml><?xml version="1.0" encoding="utf-8"?>
<comments xmlns="http://schemas.openxmlformats.org/spreadsheetml/2006/main">
  <authors>
    <author>Bas Mentink</author>
  </authors>
  <commentList>
    <comment ref="D20" authorId="0" shapeId="0">
      <text>
        <r>
          <rPr>
            <b/>
            <sz val="9"/>
            <color indexed="81"/>
            <rFont val="Tahoma"/>
            <family val="2"/>
          </rPr>
          <t>Bas Mentink:</t>
        </r>
        <r>
          <rPr>
            <sz val="9"/>
            <color indexed="81"/>
            <rFont val="Tahoma"/>
            <family val="2"/>
          </rPr>
          <t xml:space="preserve">
Wat betekent dit precies?</t>
        </r>
      </text>
    </comment>
  </commentList>
</comments>
</file>

<file path=xl/comments7.xml><?xml version="1.0" encoding="utf-8"?>
<comments xmlns="http://schemas.openxmlformats.org/spreadsheetml/2006/main">
  <authors>
    <author>tc={7CD9991F-181F-4F1D-AC27-00F3F461CE6F}</author>
  </authors>
  <commentList>
    <comment ref="B51" authorId="0" shapeId="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Toegevoegd</t>
        </r>
      </text>
    </comment>
  </commentList>
</comments>
</file>

<file path=xl/sharedStrings.xml><?xml version="1.0" encoding="utf-8"?>
<sst xmlns="http://schemas.openxmlformats.org/spreadsheetml/2006/main" count="6363" uniqueCount="795">
  <si>
    <t>Invoervariabelen</t>
  </si>
  <si>
    <t>Omschrijving</t>
  </si>
  <si>
    <t>Aantal</t>
  </si>
  <si>
    <t>Eenheid</t>
  </si>
  <si>
    <t>Opmerking</t>
  </si>
  <si>
    <t>#</t>
  </si>
  <si>
    <t>Aantal rijbanen voor wegprofiel</t>
  </si>
  <si>
    <t>Aantal rijstroken voor (gehele) wegprofiel</t>
  </si>
  <si>
    <t>Aantal vluchtstroken binnen (gehele) wegprofiel</t>
  </si>
  <si>
    <t>Aantal km weg met dit wegprofiel</t>
  </si>
  <si>
    <t>km1</t>
  </si>
  <si>
    <t>Standaardparameters</t>
  </si>
  <si>
    <t>Minimumwaarde = #1</t>
  </si>
  <si>
    <t>Breedte redresseerstrook</t>
  </si>
  <si>
    <t>Percentage belijnde lengte bij niet doorgetrokken streep</t>
  </si>
  <si>
    <t>Breedte rijstrook incl. belijning</t>
  </si>
  <si>
    <t>Dikte toplaag</t>
  </si>
  <si>
    <t>Dikte tussenlaag</t>
  </si>
  <si>
    <t>Dikte onderlaag</t>
  </si>
  <si>
    <t>Dikte funderingslaag</t>
  </si>
  <si>
    <t>Dikte zandbed</t>
  </si>
  <si>
    <t>m1</t>
  </si>
  <si>
    <t>%</t>
  </si>
  <si>
    <t>Lengte viaduct</t>
  </si>
  <si>
    <t>Hoogte viaduct</t>
  </si>
  <si>
    <t>Aantal brugpijlers</t>
  </si>
  <si>
    <t>DuboCalc-invoer</t>
  </si>
  <si>
    <t>Toplaag</t>
  </si>
  <si>
    <t>Rijstrook</t>
  </si>
  <si>
    <t>Tussen- en onderlaag</t>
  </si>
  <si>
    <t>Funderingslaag</t>
  </si>
  <si>
    <t>Zandbed</t>
  </si>
  <si>
    <t>Ontgraven cunet</t>
  </si>
  <si>
    <t>Vluchtstrook</t>
  </si>
  <si>
    <t>Redresseerstrook</t>
  </si>
  <si>
    <t>Geleiderail</t>
  </si>
  <si>
    <t>Wegmarkering</t>
  </si>
  <si>
    <t>Fundering</t>
  </si>
  <si>
    <t>Landhoofd</t>
  </si>
  <si>
    <t>Brugconstructie</t>
  </si>
  <si>
    <t>Verharding</t>
  </si>
  <si>
    <t>Geleiderails</t>
  </si>
  <si>
    <t>Tunnelconstructie</t>
  </si>
  <si>
    <t>Tramspoor</t>
  </si>
  <si>
    <t>Aan beide zijden rijbaan. Mogelijk is 0.6 meter ook een goede actuele maat.</t>
  </si>
  <si>
    <t xml:space="preserve">Dikte onder en tussenlaag min. 25 cm volgens Günter Röring </t>
  </si>
  <si>
    <t>30 cm volgens Gerard</t>
  </si>
  <si>
    <t>Toplaag mag niet meegerekend worden volgens Günter Röring. Min. profieldikte 1m.</t>
  </si>
  <si>
    <t>m3</t>
  </si>
  <si>
    <t>m2</t>
  </si>
  <si>
    <t>AC 22 niet in DC. STAB als referentie.</t>
  </si>
  <si>
    <t>LET OP!, vrijkomend materiaal</t>
  </si>
  <si>
    <t>Minimumwaarde = #1. Er moeten altijd evenveel of meer rijstroken zijn dat er rijbanen zijn ingegeven.</t>
  </si>
  <si>
    <t>Kantstrepen</t>
  </si>
  <si>
    <t>Onderbroken strepen</t>
  </si>
  <si>
    <t>Let op, berekening van markering volgt uit aantal rijbanen waarover het aantal rijstroken verdeeld is. Voor elke extra rijstrook op een rijbaan komt daar 250 meter/kilometer bijop.</t>
  </si>
  <si>
    <t xml:space="preserve">Let op, berekening van markering volgt uit aantal rijbanen waarover het aantal rijstroken verdeeld is. Standaard per rijbaan 2 kantstrepen. </t>
  </si>
  <si>
    <t>Aanwezigheid van middentunnelkanaal</t>
  </si>
  <si>
    <t>0 = niet aanwezig, 1 = wel aanwezig</t>
  </si>
  <si>
    <t>Weg op tunnel</t>
  </si>
  <si>
    <t>Inwendige hoogte van tunnel</t>
  </si>
  <si>
    <t>vrije breedte van middentunnelkanaal</t>
  </si>
  <si>
    <t>wanden van middentunnelkanaal</t>
  </si>
  <si>
    <t>mm1</t>
  </si>
  <si>
    <r>
      <rPr>
        <sz val="10"/>
        <color rgb="FF000000"/>
        <rFont val="Symbol"/>
        <family val="1"/>
        <charset val="2"/>
      </rPr>
      <t>g</t>
    </r>
    <r>
      <rPr>
        <vertAlign val="subscript"/>
        <sz val="10"/>
        <color rgb="FF000000"/>
        <rFont val="Arial"/>
        <family val="2"/>
      </rPr>
      <t>c</t>
    </r>
  </si>
  <si>
    <r>
      <rPr>
        <sz val="10"/>
        <color rgb="FF000000"/>
        <rFont val="Symbol"/>
        <family val="1"/>
        <charset val="2"/>
      </rPr>
      <t>g</t>
    </r>
    <r>
      <rPr>
        <vertAlign val="subscript"/>
        <sz val="10"/>
        <color rgb="FF000000"/>
        <rFont val="Arial"/>
        <family val="2"/>
      </rPr>
      <t>a</t>
    </r>
  </si>
  <si>
    <r>
      <rPr>
        <sz val="10"/>
        <color rgb="FF000000"/>
        <rFont val="Symbol"/>
        <family val="1"/>
        <charset val="2"/>
      </rPr>
      <t>g</t>
    </r>
    <r>
      <rPr>
        <vertAlign val="subscript"/>
        <sz val="10"/>
        <color rgb="FF000000"/>
        <rFont val="Arial"/>
        <family val="2"/>
      </rPr>
      <t>z</t>
    </r>
  </si>
  <si>
    <r>
      <t>E</t>
    </r>
    <r>
      <rPr>
        <vertAlign val="subscript"/>
        <sz val="10"/>
        <color rgb="FF000000"/>
        <rFont val="Arial"/>
        <family val="2"/>
      </rPr>
      <t>c</t>
    </r>
  </si>
  <si>
    <t>fck</t>
  </si>
  <si>
    <r>
      <t>kN/m</t>
    </r>
    <r>
      <rPr>
        <vertAlign val="superscript"/>
        <sz val="10"/>
        <color rgb="FF000000"/>
        <rFont val="Arial"/>
        <family val="2"/>
      </rPr>
      <t>3</t>
    </r>
  </si>
  <si>
    <r>
      <t>N/mm</t>
    </r>
    <r>
      <rPr>
        <vertAlign val="superscript"/>
        <sz val="10"/>
        <color rgb="FF000000"/>
        <rFont val="Arial"/>
        <family val="2"/>
      </rPr>
      <t>2</t>
    </r>
  </si>
  <si>
    <t>N/mm2</t>
  </si>
  <si>
    <t>Lengte tunnel</t>
  </si>
  <si>
    <r>
      <rPr>
        <i/>
        <sz val="10"/>
        <color rgb="FF000000"/>
        <rFont val="Symbol"/>
        <family val="1"/>
        <charset val="2"/>
      </rPr>
      <t>s</t>
    </r>
    <r>
      <rPr>
        <i/>
        <vertAlign val="subscript"/>
        <sz val="10"/>
        <color rgb="FF000000"/>
        <rFont val="Arial"/>
        <family val="2"/>
      </rPr>
      <t>s</t>
    </r>
  </si>
  <si>
    <r>
      <t>N/mm</t>
    </r>
    <r>
      <rPr>
        <i/>
        <vertAlign val="superscript"/>
        <sz val="10"/>
        <color rgb="FF000000"/>
        <rFont val="Arial"/>
        <family val="2"/>
      </rPr>
      <t>2</t>
    </r>
  </si>
  <si>
    <t>om scheurwijdte te beperken</t>
  </si>
  <si>
    <t>Breedte van de tunnel</t>
  </si>
  <si>
    <t>Dekdikte van de tunnel</t>
  </si>
  <si>
    <r>
      <t>M</t>
    </r>
    <r>
      <rPr>
        <vertAlign val="subscript"/>
        <sz val="10"/>
        <color rgb="FF000000"/>
        <rFont val="Arial"/>
        <family val="2"/>
      </rPr>
      <t>eg</t>
    </r>
  </si>
  <si>
    <r>
      <t>M</t>
    </r>
    <r>
      <rPr>
        <vertAlign val="subscript"/>
        <sz val="10"/>
        <color rgb="FF000000"/>
        <rFont val="Arial"/>
        <family val="2"/>
      </rPr>
      <t>rustend</t>
    </r>
  </si>
  <si>
    <r>
      <t>M</t>
    </r>
    <r>
      <rPr>
        <vertAlign val="subscript"/>
        <sz val="10"/>
        <color rgb="FF000000"/>
        <rFont val="Arial"/>
        <family val="2"/>
      </rPr>
      <t>verkeer</t>
    </r>
  </si>
  <si>
    <t>kNm</t>
  </si>
  <si>
    <t>Gronddekking op tunnel</t>
  </si>
  <si>
    <r>
      <t>M</t>
    </r>
    <r>
      <rPr>
        <vertAlign val="subscript"/>
        <sz val="10"/>
        <color rgb="FF000000"/>
        <rFont val="Arial"/>
        <family val="2"/>
      </rPr>
      <t>Efreq</t>
    </r>
  </si>
  <si>
    <r>
      <t>M</t>
    </r>
    <r>
      <rPr>
        <vertAlign val="subscript"/>
        <sz val="10"/>
        <color rgb="FF000000"/>
        <rFont val="Arial"/>
        <family val="2"/>
      </rPr>
      <t>Ed</t>
    </r>
  </si>
  <si>
    <r>
      <t>V</t>
    </r>
    <r>
      <rPr>
        <vertAlign val="subscript"/>
        <sz val="10"/>
        <color rgb="FF000000"/>
        <rFont val="Arial"/>
        <family val="2"/>
      </rPr>
      <t>Ed</t>
    </r>
  </si>
  <si>
    <r>
      <t>A</t>
    </r>
    <r>
      <rPr>
        <vertAlign val="subscript"/>
        <sz val="10"/>
        <color rgb="FF000000"/>
        <rFont val="Arial"/>
        <family val="2"/>
      </rPr>
      <t>s,ben</t>
    </r>
  </si>
  <si>
    <t>uc</t>
  </si>
  <si>
    <r>
      <t>V</t>
    </r>
    <r>
      <rPr>
        <vertAlign val="subscript"/>
        <sz val="10"/>
        <color rgb="FF000000"/>
        <rFont val="Arial"/>
        <family val="2"/>
      </rPr>
      <t>Rd</t>
    </r>
  </si>
  <si>
    <t>kN</t>
  </si>
  <si>
    <t>mm2</t>
  </si>
  <si>
    <t>EI</t>
  </si>
  <si>
    <t>k</t>
  </si>
  <si>
    <t>kNm/rad</t>
  </si>
  <si>
    <r>
      <t>Nmm</t>
    </r>
    <r>
      <rPr>
        <vertAlign val="superscript"/>
        <sz val="10"/>
        <color rgb="FF000000"/>
        <rFont val="Arial"/>
        <family val="2"/>
      </rPr>
      <t>2</t>
    </r>
  </si>
  <si>
    <t>[-]</t>
  </si>
  <si>
    <t>Beton</t>
  </si>
  <si>
    <t>verkeersbelasting per rijstrook</t>
  </si>
  <si>
    <t>kN/m2</t>
  </si>
  <si>
    <t>Wapeningsstaal</t>
  </si>
  <si>
    <t>Minimumwaarde = #2</t>
  </si>
  <si>
    <t xml:space="preserve">Aan beide zijden rijbaan. </t>
  </si>
  <si>
    <t>m</t>
  </si>
  <si>
    <t xml:space="preserve">Standaard doorrijdhoogte </t>
  </si>
  <si>
    <t>Dikte toplaag onderdoorgaande weg</t>
  </si>
  <si>
    <t>ZOAB</t>
  </si>
  <si>
    <t>Dikte uitvullaag onderdoorgaande weg</t>
  </si>
  <si>
    <t>DAB</t>
  </si>
  <si>
    <t>Volumepercentage wapening in gewapend of voorgespannen beton</t>
  </si>
  <si>
    <t>procent</t>
  </si>
  <si>
    <t>Zie: https://wetenschap.infonu.nl/techniek/109138-hoeveel-wapening-wapeningspercentage-mag-er-in-beton.html en https://wetenschap.infonu.nl/techniek/109868-ontwerpberekening-betonwapening-volgens-gtb-tabellen.html</t>
  </si>
  <si>
    <t>Soortelijk gewicht staal</t>
  </si>
  <si>
    <t>kg/dm3</t>
  </si>
  <si>
    <t>https://nl.wikipedia.org/wiki/Dichtheid_van_vaste_stoffen, http://www.soortelijkgewicht.com/vaste-stoffen</t>
  </si>
  <si>
    <t>Hoogte brugdekliggers</t>
  </si>
  <si>
    <t>Geschat o.b.v. RTD1001_ROK1.4_BijlageB_april2017_tcm21-108743, p 35. Aanname dat dit representatief is voor de gehele dwarsdoorsnede van het brugdek.</t>
  </si>
  <si>
    <t>Lege ruimte in brugdekliggers</t>
  </si>
  <si>
    <t>Geschat o.b.v. RTD1001_ROK1.4_BijlageB_april2017_tcm21-108743, p 35</t>
  </si>
  <si>
    <t>Hoeveelheid beton op landhoofden, per m1</t>
  </si>
  <si>
    <t>Geschat o.b.v. RTD1001_ROK1.4_BijlageB_april2017_tcm21-108743, p 30 en CO2 ketenanalyse verkeersbrug RHDHV</t>
  </si>
  <si>
    <t>Hoeveelheid beton per brugpijler</t>
  </si>
  <si>
    <t>O.b.v. hoogte dek viaduct, pilaar 1m2 doorsnede, doorlopend tot 1 m ondermaaiveld, met betonnen voet 3*3*1 m</t>
  </si>
  <si>
    <t>Hellingsgraad snelweg richting viaduct</t>
  </si>
  <si>
    <t>m/m</t>
  </si>
  <si>
    <t>Dit komt overeen met een helling van 2,5%</t>
  </si>
  <si>
    <t>Hellingsgraad talud viaduct</t>
  </si>
  <si>
    <t>O.b.v. RTD1001_ROK1.4_BijlageB_april2017_tcm21-108743, p 25</t>
  </si>
  <si>
    <t>Benodigde dikte brugdek per m1 overspanning</t>
  </si>
  <si>
    <t>O.b.v. vuistregel 1:20</t>
  </si>
  <si>
    <t>Profieldikte snelweg</t>
  </si>
  <si>
    <t>Zie modellering snelweg</t>
  </si>
  <si>
    <t>Aantal heipalen per m2</t>
  </si>
  <si>
    <t>palen per m2</t>
  </si>
  <si>
    <t>Op basis van aantal heipalen verlengde Waalbrug. Zie: http://www.ruimtevoordewaal.nl/nl/het-project/technisch-verhaal-in-mensentaal/technisch-verhaal-detail/1138-speciale-heipalen-voor-een-solide-basis en https://docplayer.nl/61602442-Constructieve-uitwerking-ondersteuningsconstructie-verlengde-waalbrug.html</t>
  </si>
  <si>
    <t>Volume heipaal</t>
  </si>
  <si>
    <t>Op basis van standaard DC heipaal</t>
  </si>
  <si>
    <t>Berekeningen</t>
  </si>
  <si>
    <t>Aantal pilaren per m1 brugdek, per rijstrook</t>
  </si>
  <si>
    <t>Totaal aantal pilaren</t>
  </si>
  <si>
    <t>Maximale hoogte talud</t>
  </si>
  <si>
    <t>Hoogte talud onder rijbaan</t>
  </si>
  <si>
    <t>Lengte talud onder rijbaan</t>
  </si>
  <si>
    <t>Lengte talud naast rijbaan</t>
  </si>
  <si>
    <t>Max. breedte taluds langs rijbaan</t>
  </si>
  <si>
    <t>Breedte rijbaan</t>
  </si>
  <si>
    <t>Oppervlakte rijbaan op viaduct</t>
  </si>
  <si>
    <t>Oppervlakte grondvlak taluds naast rijbaan</t>
  </si>
  <si>
    <t>Oppervlakte grondvlak taluds onder rijbaan</t>
  </si>
  <si>
    <t>Inhoud taluds</t>
  </si>
  <si>
    <t>Oppervlakte verhard oppervlak onder viaduct</t>
  </si>
  <si>
    <t>Aantal heipalen</t>
  </si>
  <si>
    <t>Op basis formule inhoud piramide en inhoud 'blok' vorm</t>
  </si>
  <si>
    <t>Heipalen</t>
  </si>
  <si>
    <t>Grondlichaam onder en naast rijbaan</t>
  </si>
  <si>
    <t>Bekleding talud onder brugdek</t>
  </si>
  <si>
    <t>Aanname: verhard, vergelijkbaar met verharding gebakken straatklinker. In de praktijk vaak onder een helling, maar ook niet doorlopend tot de hoogte van het brugdek.</t>
  </si>
  <si>
    <t>Beton aanlanding</t>
  </si>
  <si>
    <t>Aanname: HS-beton</t>
  </si>
  <si>
    <t>Wapeningsstaal aanlanding</t>
  </si>
  <si>
    <t>ton</t>
  </si>
  <si>
    <t>Beton liggers</t>
  </si>
  <si>
    <t>Wapening liggers</t>
  </si>
  <si>
    <t>Beton pijlers</t>
  </si>
  <si>
    <t>Wapening pijlers</t>
  </si>
  <si>
    <t>Uitvullaag</t>
  </si>
  <si>
    <t>Hekwerk langs brug</t>
  </si>
  <si>
    <t>Heipalen (m3 per m)</t>
  </si>
  <si>
    <t>Grondlichaam landhoofd</t>
  </si>
  <si>
    <t>Verharding op viaduct</t>
  </si>
  <si>
    <t>Geleiderails en afscherming</t>
  </si>
  <si>
    <t>Open bak</t>
  </si>
  <si>
    <t>Haarlemmermeer</t>
  </si>
  <si>
    <t>Ontgraven grond tunnelbuis</t>
  </si>
  <si>
    <t>Aanbrengen grond tunnelbuis</t>
  </si>
  <si>
    <t>Ontgraven grond toe- en afrit</t>
  </si>
  <si>
    <t>Grondverzet</t>
  </si>
  <si>
    <t>Lengte onderliggend grondlichaam toe- of afrit</t>
  </si>
  <si>
    <t>Profieldikte snelweg minus toplaag</t>
  </si>
  <si>
    <t>Lengte toe- of afrit</t>
  </si>
  <si>
    <t>Verharding in tunnel</t>
  </si>
  <si>
    <t>Verharding op toe- en afrit</t>
  </si>
  <si>
    <t>Wegmarkering in tunnel</t>
  </si>
  <si>
    <t>Wegmarkering op toe- en uitrit</t>
  </si>
  <si>
    <t>Verharding op talud</t>
  </si>
  <si>
    <t>Lengte toe- of afrit op talud</t>
  </si>
  <si>
    <t>Geleiderails langs weg</t>
  </si>
  <si>
    <t>Hekwerk</t>
  </si>
  <si>
    <t>1/30 van de overspanning</t>
  </si>
  <si>
    <t>Aantal rijstroken waarmee de brug wordt verbreed</t>
  </si>
  <si>
    <t>Komt overeen met de lengte van viaduct-element</t>
  </si>
  <si>
    <t>Totaal aantal extra pilaren</t>
  </si>
  <si>
    <t>Aantal rijbanen waar een rijstro(o)k(en) bijkomen</t>
  </si>
  <si>
    <t>4 grondvlakken naast 2 rijbanen, driehoekig oppervlak</t>
  </si>
  <si>
    <t>Inhoud af te graven grond</t>
  </si>
  <si>
    <t>Inhoud aan te brengen grond</t>
  </si>
  <si>
    <t>1 m grond afgraven van talud dat een driehoekig oppervlakte heeft (talud heeft een piramide-vorm)</t>
  </si>
  <si>
    <t>Afgraven van zand, transportafstand 5 km</t>
  </si>
  <si>
    <t>Grondlichaam naast "oude" rijbaan</t>
  </si>
  <si>
    <t>Lengte invoegstrook (toerit)</t>
  </si>
  <si>
    <t>Lengte uitvoegstrook (afrit)</t>
  </si>
  <si>
    <t>Binnenstraal van rotonde</t>
  </si>
  <si>
    <t>Buitenstraal van rotonde</t>
  </si>
  <si>
    <t>Breedte buitenste strook betonstraatstenen</t>
  </si>
  <si>
    <t>Breedte binnenste strook betonstraatstenen</t>
  </si>
  <si>
    <t>RWS-band</t>
  </si>
  <si>
    <t>Breedte van RWS-band</t>
  </si>
  <si>
    <t>Breedt van rotondeblok</t>
  </si>
  <si>
    <t>Oppervlakte middeneiland</t>
  </si>
  <si>
    <t>Breedte rijstrook</t>
  </si>
  <si>
    <t>Oppervlakte rijstrook</t>
  </si>
  <si>
    <t>Oppervlakte buitenste strook betonstraatstenen</t>
  </si>
  <si>
    <t>Oppervlakte binnenste strook betonstraatstenen</t>
  </si>
  <si>
    <t>Omtrek RWS-band</t>
  </si>
  <si>
    <t>vanaf midden gemeten</t>
  </si>
  <si>
    <t>Omtrek rotondeblok</t>
  </si>
  <si>
    <t>Breedte van toerit</t>
  </si>
  <si>
    <t>Breedte van afrit</t>
  </si>
  <si>
    <t>Lengte toe- en afritten</t>
  </si>
  <si>
    <t>Oppervlakte toe- en afritten</t>
  </si>
  <si>
    <t>Aantal toeleidende wegen</t>
  </si>
  <si>
    <t>Minimumwaarde = #3</t>
  </si>
  <si>
    <t>Rijstrook op rotonde</t>
  </si>
  <si>
    <t>Dikte deklaag</t>
  </si>
  <si>
    <t>Buitenste strook</t>
  </si>
  <si>
    <t>Binnenste strook</t>
  </si>
  <si>
    <t>Rotondeblok</t>
  </si>
  <si>
    <t>Aantal km spoor met dit profiel</t>
  </si>
  <si>
    <t>Aantal wissels binnen binnen traject</t>
  </si>
  <si>
    <t>Afschot aardebaan</t>
  </si>
  <si>
    <t>Breedte enkelspoor</t>
  </si>
  <si>
    <t>Breedte inspectiepad</t>
  </si>
  <si>
    <t>Dikte aardebaan</t>
  </si>
  <si>
    <t>Breedte van geluidsscherm</t>
  </si>
  <si>
    <t>Dwarsliggers</t>
  </si>
  <si>
    <t>Dwarsliggers NS90</t>
  </si>
  <si>
    <t>per m1 enkelspoor</t>
  </si>
  <si>
    <t>Geotextiel</t>
  </si>
  <si>
    <t>Spoorstaven</t>
  </si>
  <si>
    <t>Ballast</t>
  </si>
  <si>
    <t>Spoor</t>
  </si>
  <si>
    <t>Bovenleiding</t>
  </si>
  <si>
    <t>Lengte profiel</t>
  </si>
  <si>
    <t>verhouding 1:2</t>
  </si>
  <si>
    <t>inhoud berekend o.b.v. 'rechthoek' en 2 'driehoeken'</t>
  </si>
  <si>
    <t>Aardebaan</t>
  </si>
  <si>
    <t>Inhoud aardebaan van spoorprofiel</t>
  </si>
  <si>
    <t>Geluidsscherm</t>
  </si>
  <si>
    <t>Aantal geluiddschermen</t>
  </si>
  <si>
    <t>aan beide zijden</t>
  </si>
  <si>
    <t>Onderhoudspad</t>
  </si>
  <si>
    <t>Algemeen</t>
  </si>
  <si>
    <t>Geluiddscherm (incl. fundering)</t>
  </si>
  <si>
    <t>Paal incl. fundering</t>
  </si>
  <si>
    <t>per 240 m1 enkelspoor</t>
  </si>
  <si>
    <t>Bovenleidingsarm</t>
  </si>
  <si>
    <t>RHS balk</t>
  </si>
  <si>
    <t>Ankerblok</t>
  </si>
  <si>
    <t>Bovenleidingspaal incl. fundering</t>
  </si>
  <si>
    <t>Gem. lengte bovenleidingspaal</t>
  </si>
  <si>
    <t>Gem. lengte bovenleidingsarm</t>
  </si>
  <si>
    <t>gem. lengte RHS balk</t>
  </si>
  <si>
    <t>Porfier</t>
  </si>
  <si>
    <t>Soortelijk gewicht ballast</t>
  </si>
  <si>
    <t>kg/m3</t>
  </si>
  <si>
    <t>Dikte inspectiepad</t>
  </si>
  <si>
    <t>Inspectiepad</t>
  </si>
  <si>
    <t>H.o.h. spoor en bovenleidingspaal / geluidsscherm</t>
  </si>
  <si>
    <t>gem. lengte trekschoor</t>
  </si>
  <si>
    <t>Lengte fietssnelpad</t>
  </si>
  <si>
    <t>Breedte fietssnelpad</t>
  </si>
  <si>
    <t>Breedte fundering</t>
  </si>
  <si>
    <t>Afschot fundering</t>
  </si>
  <si>
    <t>verhouding 10:16</t>
  </si>
  <si>
    <t>Onderlaag</t>
  </si>
  <si>
    <t>Lengte HOV-busbaan</t>
  </si>
  <si>
    <t>Breedte van HOV-busbaan</t>
  </si>
  <si>
    <t>Dikte van toplaag (beton)</t>
  </si>
  <si>
    <t>Dikte van tussenlaag (asfalt)</t>
  </si>
  <si>
    <t>Betondek</t>
  </si>
  <si>
    <t>Tussenlaag</t>
  </si>
  <si>
    <t>Dikte van fundering</t>
  </si>
  <si>
    <t>Dikte van zandbed</t>
  </si>
  <si>
    <t>Breedte van fundering</t>
  </si>
  <si>
    <t>Breedte van zandbed</t>
  </si>
  <si>
    <t>Busbaan</t>
  </si>
  <si>
    <t>Halte</t>
  </si>
  <si>
    <t>Tussenafstand tussen haltes</t>
  </si>
  <si>
    <t>Lengte van halte</t>
  </si>
  <si>
    <t>Breedte van halte</t>
  </si>
  <si>
    <t>Tegelverharding</t>
  </si>
  <si>
    <t>Aantal auto's</t>
  </si>
  <si>
    <t>Vakbreedte parkeerplaats</t>
  </si>
  <si>
    <t>Vakdiepte parkeerplaats</t>
  </si>
  <si>
    <t>Achteruitrijlengte bij tweezijdige haakse parkeervakken</t>
  </si>
  <si>
    <t>Dikte van deklaag</t>
  </si>
  <si>
    <t>Dikte van tussenlaag</t>
  </si>
  <si>
    <t>Dikte van onderlaag</t>
  </si>
  <si>
    <t>Percentage belijning van parkeervak</t>
  </si>
  <si>
    <t>Deklaag</t>
  </si>
  <si>
    <t>Belijning</t>
  </si>
  <si>
    <t>km</t>
  </si>
  <si>
    <t>1 zijde per parkeerplaats meegenomen</t>
  </si>
  <si>
    <t>Aantal parkeerplaatsen voor vrachtwagens</t>
  </si>
  <si>
    <t>Breedte van rijbaan (naar parkeerplaatsen)</t>
  </si>
  <si>
    <t>Dikte van betonlaag</t>
  </si>
  <si>
    <t>Betonlaag</t>
  </si>
  <si>
    <t>Markering</t>
  </si>
  <si>
    <t>Spiegelafstelplaats</t>
  </si>
  <si>
    <t>Belijning spiegelafstelplaats</t>
  </si>
  <si>
    <t>Oppervlakte spiegelafstelplaats</t>
  </si>
  <si>
    <t>Hoogteverschil (tussen HWN en OWN)</t>
  </si>
  <si>
    <t>Afschot talud</t>
  </si>
  <si>
    <t>Verhouding 1:3</t>
  </si>
  <si>
    <t>Breedte talud</t>
  </si>
  <si>
    <t>Volume talud (per strekkende meter, bij max. hoogte)</t>
  </si>
  <si>
    <t>Gem. ophoging</t>
  </si>
  <si>
    <t>Percentage belijnde lengte bij in- of uitvoegen</t>
  </si>
  <si>
    <t>Toe- of afrit</t>
  </si>
  <si>
    <t>Lengte haarlemmermeer</t>
  </si>
  <si>
    <t>Lengte lusvorm</t>
  </si>
  <si>
    <t>Lengte S-vorm</t>
  </si>
  <si>
    <t>Lusvorm</t>
  </si>
  <si>
    <t>S-vorm</t>
  </si>
  <si>
    <t>Aantal Haarlemmermeer-aanslutingen</t>
  </si>
  <si>
    <t>Aantal lusvorm-aansluitingen</t>
  </si>
  <si>
    <t>Aantal s-vorm-aansluitingen</t>
  </si>
  <si>
    <t>Minimumwaarde voor totaal aantal aansluitingen = #2</t>
  </si>
  <si>
    <t>Gem. genomen van toe- en afrit</t>
  </si>
  <si>
    <t>Aantal directe verbindingswegen</t>
  </si>
  <si>
    <t>Aantal semi-directe verbindingswegen</t>
  </si>
  <si>
    <t>Aantal indirecte verbindingswegen</t>
  </si>
  <si>
    <t>Minimumwaarde voor totaal aantal aansluitingen = #4</t>
  </si>
  <si>
    <t>Lengte semi-directe vw</t>
  </si>
  <si>
    <t>Lengte directe vw</t>
  </si>
  <si>
    <t>Lengte indirecte vw</t>
  </si>
  <si>
    <t>Directe vw</t>
  </si>
  <si>
    <t>Semi-directe vw</t>
  </si>
  <si>
    <t>Indirecte vw</t>
  </si>
  <si>
    <t>Hoogteverschil (tussen weg #1 en weg #2)</t>
  </si>
  <si>
    <t>Extra grondverzet</t>
  </si>
  <si>
    <t>2 rijstroken + 2x1 m ruimte</t>
  </si>
  <si>
    <t>geen ophoging</t>
  </si>
  <si>
    <t>2 taluds van beiden 300 m</t>
  </si>
  <si>
    <t>Breedte dubbelspoor</t>
  </si>
  <si>
    <t>per m1 dubbelspoor</t>
  </si>
  <si>
    <t>per 240 m1 dubbelspoor</t>
  </si>
  <si>
    <t>plus 1m restruimte</t>
  </si>
  <si>
    <t>Lengte van tramrail</t>
  </si>
  <si>
    <t>Breedte van tramrail</t>
  </si>
  <si>
    <t>H.o.h. sporen van tramrail</t>
  </si>
  <si>
    <t>Dikte van ballastbed</t>
  </si>
  <si>
    <t>Dikte van trambaan (beton)</t>
  </si>
  <si>
    <t>Breedte van totale profiel</t>
  </si>
  <si>
    <t>Trambaan</t>
  </si>
  <si>
    <t>Oppervlakte van opvullaag ballast tussen tramrail en kant</t>
  </si>
  <si>
    <t>Ballastbed</t>
  </si>
  <si>
    <t>Opvullaag ballast</t>
  </si>
  <si>
    <t>Gewicht spoorstaaf tram</t>
  </si>
  <si>
    <t>kg/m</t>
  </si>
  <si>
    <t>Gewicht spoorstaaf trein</t>
  </si>
  <si>
    <t>per 1 m1 tramspoor</t>
  </si>
  <si>
    <t>Tramrails</t>
  </si>
  <si>
    <t>Inhoud zandbed</t>
  </si>
  <si>
    <t>Afschot zandbed</t>
  </si>
  <si>
    <t>ton/m3</t>
  </si>
  <si>
    <t>1600 kg/m3</t>
  </si>
  <si>
    <t>Monoligger</t>
  </si>
  <si>
    <t>Monoliggers</t>
  </si>
  <si>
    <t>Breedte van monoligger</t>
  </si>
  <si>
    <t>Dikte van monoligger</t>
  </si>
  <si>
    <t>Spoorstaaf</t>
  </si>
  <si>
    <t>factor gehanteerd vanwege lager gewicht van spoorstaaf 49E1 versus 54E1</t>
  </si>
  <si>
    <t>Betonbaan</t>
  </si>
  <si>
    <t>Breedte kop spoorstaaf tram</t>
  </si>
  <si>
    <t>Breedte rijbaan op talud incl. belijning</t>
  </si>
  <si>
    <t>Breedte rijbaan op toe- en afrit</t>
  </si>
  <si>
    <t>Aantal metrosporen voor gehele profiel</t>
  </si>
  <si>
    <t>Hellingsgraad metrolijn richting tunnel</t>
  </si>
  <si>
    <t>Dit komt overeen met een helling van 4,0%</t>
  </si>
  <si>
    <t>Lengte toe- of uitrit</t>
  </si>
  <si>
    <t>Stroomgeleider</t>
  </si>
  <si>
    <t>Betonvloer</t>
  </si>
  <si>
    <t>Dikte betonvloer</t>
  </si>
  <si>
    <t>Breedte betonvloer</t>
  </si>
  <si>
    <t>Spoor in tunnel</t>
  </si>
  <si>
    <t>per m1 spoor</t>
  </si>
  <si>
    <t>Inspectiepad in tunnel</t>
  </si>
  <si>
    <t>Betonnen inspectiepad</t>
  </si>
  <si>
    <t>Spoor buiten tunnel</t>
  </si>
  <si>
    <t>Lengte brug</t>
  </si>
  <si>
    <t>halte aan beide zijdes</t>
  </si>
  <si>
    <t>Aantal auto's (p)</t>
  </si>
  <si>
    <t>Parkeerplaatsen (aantal)</t>
  </si>
  <si>
    <t>stuks</t>
  </si>
  <si>
    <t>Inspectiepad buiten tunnel</t>
  </si>
  <si>
    <t>Aardebaan buiten tunnel</t>
  </si>
  <si>
    <t>Breedte inspectiepad in tunnel</t>
  </si>
  <si>
    <t>Dikte inspectiepad in tunnel</t>
  </si>
  <si>
    <t>Breedte inspectiepad buiten tunnel</t>
  </si>
  <si>
    <t>Lengte profiel buiten tunnel</t>
  </si>
  <si>
    <t>Aantal rijstroken per rijbaan</t>
  </si>
  <si>
    <t>Breedte belijning</t>
  </si>
  <si>
    <t>Tussenstuk</t>
  </si>
  <si>
    <t>Breedte redresseerstrook excl. belijning</t>
  </si>
  <si>
    <t>Breedte tussenstuk excl. belijning</t>
  </si>
  <si>
    <t>LET OP!, vrijkomend materiaal en grond voor gehele rotonde afgraven</t>
  </si>
  <si>
    <t>LET OP!, vrijkomend materiaal en grond voor alle toe- en afritten afgraven</t>
  </si>
  <si>
    <t>Middeneiland</t>
  </si>
  <si>
    <t>Randen</t>
  </si>
  <si>
    <t>Bekleding middeneiland</t>
  </si>
  <si>
    <t>Redresseerstroken (aantal)</t>
  </si>
  <si>
    <t>Rijstroken (aantal)</t>
  </si>
  <si>
    <t>Geleiderail (ja = 1)</t>
  </si>
  <si>
    <t>Invoer per redresseerstrook</t>
  </si>
  <si>
    <t>Invoer per rijstrook</t>
  </si>
  <si>
    <t>Toe- en afritten (aantal)</t>
  </si>
  <si>
    <t>Wegmarkering onderbroken 25%</t>
  </si>
  <si>
    <t>Betonconstructie</t>
  </si>
  <si>
    <t>Onderdoorgaande weg</t>
  </si>
  <si>
    <t>https://www.bodemrichtlijn.nl/Bibliotheek/bouwstoffen-en-afvalstoffen/asfalt-beton-teerhoudend-99381/eigenschappen-asfalt-beton-99382/materiaaleigenschappen-asfa99388</t>
  </si>
  <si>
    <t>Volumepercentage wapening</t>
  </si>
  <si>
    <t>SMA</t>
  </si>
  <si>
    <t>Koker' van gewapend beton</t>
  </si>
  <si>
    <t>Dikte beton (rondom)</t>
  </si>
  <si>
    <t>Hoogte tunnel</t>
  </si>
  <si>
    <t>Lengte van de zijwand van de betonnen 'koker'.</t>
  </si>
  <si>
    <t>Lengte onderdoorgang (</t>
  </si>
  <si>
    <t xml:space="preserve">Max. 10 meter. Breedte wordt gemeten als de kortste afstand tussen beide zijwanden (dus loodrecht op de wanden) </t>
  </si>
  <si>
    <t>Breedte onderdoorgang</t>
  </si>
  <si>
    <t>Soortelijk gewicht asfalt</t>
  </si>
  <si>
    <t>Hoogte constructie (incl beton)</t>
  </si>
  <si>
    <t>Breedte constructie (incl beton)</t>
  </si>
  <si>
    <t>Oppervlak doorsnede betonconstructie</t>
  </si>
  <si>
    <t>Verharding in bak</t>
  </si>
  <si>
    <t>Wandconstructie</t>
  </si>
  <si>
    <t>Ontgraven grond bak</t>
  </si>
  <si>
    <t>Inwendige hoogte van bak</t>
  </si>
  <si>
    <t>Lengte bak (excl toeritten)</t>
  </si>
  <si>
    <t>Bron Gerard Broekstra</t>
  </si>
  <si>
    <t>Invoer 2 varianten: 2*2 en 2*3 rijstroken</t>
  </si>
  <si>
    <t>Wegmarkering in bak</t>
  </si>
  <si>
    <t>Vloerconstructie</t>
  </si>
  <si>
    <t>Toeritten</t>
  </si>
  <si>
    <t>Aantal kantstrepen</t>
  </si>
  <si>
    <t>Aantal onderbroken strepen</t>
  </si>
  <si>
    <t>Breedte bak (incl wanden)</t>
  </si>
  <si>
    <t>Diepte bak (incl vloer)</t>
  </si>
  <si>
    <t>Lengte bak excl toeritten (km)</t>
  </si>
  <si>
    <t>Hellingshoek 40 m/m</t>
  </si>
  <si>
    <t>LET OP!, vrijkomend materiaal (invoer conform Protocol)</t>
  </si>
  <si>
    <t>Vloerdikte OWB</t>
  </si>
  <si>
    <t>Vloerdikte beton</t>
  </si>
  <si>
    <t>Wanddikte voorzetwand</t>
  </si>
  <si>
    <t>Damwandlengte</t>
  </si>
  <si>
    <t>O.b.v. tekening N65</t>
  </si>
  <si>
    <t>Groutankers</t>
  </si>
  <si>
    <t>Voorzetwand</t>
  </si>
  <si>
    <t>Damwand</t>
  </si>
  <si>
    <t>Gewicht stalen damwand</t>
  </si>
  <si>
    <t>ton/m2</t>
  </si>
  <si>
    <t>AZ36-700N: mass per m2 of wall</t>
  </si>
  <si>
    <t>Hart op hart afstand heipalen</t>
  </si>
  <si>
    <t>Lengte trekpalen</t>
  </si>
  <si>
    <t>Aantal trekpalen</t>
  </si>
  <si>
    <t>Oppervlak doorsnede trekpalen</t>
  </si>
  <si>
    <t>Trekpalen</t>
  </si>
  <si>
    <t>Vloer</t>
  </si>
  <si>
    <t xml:space="preserve">Diepte: 5m; </t>
  </si>
  <si>
    <t>Vloerdikte: 1,5m</t>
  </si>
  <si>
    <t>Trekpalen h.o.h. 2 m</t>
  </si>
  <si>
    <t>Wanddikte: 1m</t>
  </si>
  <si>
    <t>Grout per groutanker</t>
  </si>
  <si>
    <t>m3/stuk</t>
  </si>
  <si>
    <t>Hart op hart afstand groutankers</t>
  </si>
  <si>
    <t>Om de 3 damwandenplanken (à 1,4m)</t>
  </si>
  <si>
    <t>Obv aannames N65</t>
  </si>
  <si>
    <t>Aantal groutankers in bak</t>
  </si>
  <si>
    <t>Staal per groutanker</t>
  </si>
  <si>
    <t>kg/stuk</t>
  </si>
  <si>
    <t>Jetmix ankertabel</t>
  </si>
  <si>
    <t>Breedte rijstrook incl. belijning (aan beide zijdes)</t>
  </si>
  <si>
    <t>Rijstroken (2)</t>
  </si>
  <si>
    <t>Redresseerstroken (2)</t>
  </si>
  <si>
    <t>PVR onder brug</t>
  </si>
  <si>
    <t>Taludhelling 1:</t>
  </si>
  <si>
    <t>-</t>
  </si>
  <si>
    <t>Aantal landhoofden</t>
  </si>
  <si>
    <t>st</t>
  </si>
  <si>
    <t>Aantal vleugelwanden</t>
  </si>
  <si>
    <t>Hoogte stalen hoofdliggers / frontwand landhoofd</t>
  </si>
  <si>
    <t>1/25 van de overspanning</t>
  </si>
  <si>
    <t>Gewicht stalen boogbrug</t>
  </si>
  <si>
    <t>kg/m2</t>
  </si>
  <si>
    <t>inschatting, betreft hoofddraagconstructie inclusief orthotroop dek</t>
  </si>
  <si>
    <t>Hoogte opleggingen</t>
  </si>
  <si>
    <t>minimum eis RWS t.b.v. bereikbaarheid</t>
  </si>
  <si>
    <t>Lengte opleggingen</t>
  </si>
  <si>
    <t>2/3 van de liggerhoogte, inschatting</t>
  </si>
  <si>
    <t>Breedte frontwand landhoofd</t>
  </si>
  <si>
    <t>1/3 van de liggerhoogte, inschatting</t>
  </si>
  <si>
    <t>Breedte sloof achter wand</t>
  </si>
  <si>
    <t>inschatting</t>
  </si>
  <si>
    <t>Hoogte landhoofdsloof</t>
  </si>
  <si>
    <t>2/3 van de liggerhoogte</t>
  </si>
  <si>
    <t>Breedte vleugelwanden</t>
  </si>
  <si>
    <t>Hoogte vleugelwanden</t>
  </si>
  <si>
    <t>gelijk aan landhoofd</t>
  </si>
  <si>
    <t>Lengte vleugelwanden</t>
  </si>
  <si>
    <t>gelijk aan hoogte vleugelwand</t>
  </si>
  <si>
    <t>Wapening landhoofden/vleugelwanden</t>
  </si>
  <si>
    <t>Lengte stootplaten</t>
  </si>
  <si>
    <t>Stalen buispalen diameter</t>
  </si>
  <si>
    <t>mm</t>
  </si>
  <si>
    <t>Stalen buispalen wanddikte</t>
  </si>
  <si>
    <t>Gewicht stalen buispalen</t>
  </si>
  <si>
    <t>kg/m1</t>
  </si>
  <si>
    <t>Lengte stalen buispalen</t>
  </si>
  <si>
    <t>1/3 van de overspanning, inschatting</t>
  </si>
  <si>
    <t>Buispalen onder landhoofd h.o.h.</t>
  </si>
  <si>
    <t>Breedte schampstrook zijkanten</t>
  </si>
  <si>
    <t>Breedte schampstrook midden</t>
  </si>
  <si>
    <t>Breedte rijstrook tot schampstrook</t>
  </si>
  <si>
    <t>Lengte talud onder landhoofd</t>
  </si>
  <si>
    <t>Breedte brugdek</t>
  </si>
  <si>
    <t>Aantal rijen buispalen landhoofd dwarsrichting</t>
  </si>
  <si>
    <t>Aantal rijen buispalen landhoofd lengterichting</t>
  </si>
  <si>
    <t>Aantal buispalen onder vleugelwand</t>
  </si>
  <si>
    <t>Dwarsdoorsnede frontwand landhoofd</t>
  </si>
  <si>
    <t>Dwarsdoorsnede landhoofdsloof</t>
  </si>
  <si>
    <t>Dwarsdoorsnede vleugelwanden</t>
  </si>
  <si>
    <t>Landhoofd incl.</t>
  </si>
  <si>
    <t>Stalen buispalen</t>
  </si>
  <si>
    <t>vleugelwanden</t>
  </si>
  <si>
    <t>Beton landhoofden</t>
  </si>
  <si>
    <t>Beton vleugelwanden</t>
  </si>
  <si>
    <t>Wapening landhoofden + vleugelwanden</t>
  </si>
  <si>
    <t>Stootplaten</t>
  </si>
  <si>
    <t>Taludbekleding onder landhoofden</t>
  </si>
  <si>
    <t>Stalen brugconstructie</t>
  </si>
  <si>
    <t>Slijtlaag op brugdek</t>
  </si>
  <si>
    <t>Gietasfalt langs schampstroken</t>
  </si>
  <si>
    <t>Geleiderails +</t>
  </si>
  <si>
    <t>Geleiderail, midden, op brugdek</t>
  </si>
  <si>
    <t>leuning</t>
  </si>
  <si>
    <t>Geleiderail, zijkanten, op brugdek en vleugelwanden</t>
  </si>
  <si>
    <t>Markering op brugdek</t>
  </si>
  <si>
    <t>Hoogte prefab betonliggers / frontwand landhoofd</t>
  </si>
  <si>
    <t>Breedte prefab betonliggers</t>
  </si>
  <si>
    <t>geldt tot een liggerhoogte van 1,60 m</t>
  </si>
  <si>
    <t>1/2 van de liggerhoogte, inschatting</t>
  </si>
  <si>
    <t>gelijk aan liggerhoogte</t>
  </si>
  <si>
    <t>Prefab betonpalen #</t>
  </si>
  <si>
    <t>Lengte betonpalen</t>
  </si>
  <si>
    <t>1/2 van de overspanning, inschatting</t>
  </si>
  <si>
    <t>Betonpalen onder landhoofd h.o.h.</t>
  </si>
  <si>
    <t>Aantal prefab betonliggers</t>
  </si>
  <si>
    <t>Aantal rijen betonpalen landhoofd dwarsrichting</t>
  </si>
  <si>
    <t>Aantal rijen betonpalen landhoofd lengterichting</t>
  </si>
  <si>
    <t>Aantal betonpalen onder vleugelwand</t>
  </si>
  <si>
    <t>Prefab betonpalen</t>
  </si>
  <si>
    <t>Prefab betonliggers</t>
  </si>
  <si>
    <t>dikte van 0,25m</t>
  </si>
  <si>
    <t>Breedte van schampstrook</t>
  </si>
  <si>
    <t>Dikte van schampstrook</t>
  </si>
  <si>
    <t>Soortelijk gewicht van gietasfalt</t>
  </si>
  <si>
    <t>Deklaag op brugdek</t>
  </si>
  <si>
    <t>Onderlaag op brugdek</t>
  </si>
  <si>
    <t>Hekwerk+geleiderails op brug</t>
  </si>
  <si>
    <t>Dikte deklaag op viaduct</t>
  </si>
  <si>
    <t>Dikte onderlaag op viaduct</t>
  </si>
  <si>
    <t>Dikte toplaag op talud</t>
  </si>
  <si>
    <t>Vakbreedte parkeerplaats vrachtwagen</t>
  </si>
  <si>
    <t>Vakdiepte parkeerplaats vrachtwagen</t>
  </si>
  <si>
    <t>Aantal parkeerplaatsen voor auto's</t>
  </si>
  <si>
    <t>Oppervlakte rijbaan 4m</t>
  </si>
  <si>
    <t>Oppervlakte rijbaan 7m</t>
  </si>
  <si>
    <t>Oppervlakte voetpaden 2m</t>
  </si>
  <si>
    <t>Dikte van deklaag asfalt</t>
  </si>
  <si>
    <t>Dikte van tussenlaag asfalt</t>
  </si>
  <si>
    <t>Dikte van zandbed voetpad</t>
  </si>
  <si>
    <t>Dikte van tegelverharding</t>
  </si>
  <si>
    <t>Parkeerplaatsen vrachtwagens</t>
  </si>
  <si>
    <t>Parkeerplaatsen auto's</t>
  </si>
  <si>
    <t>Voetpad</t>
  </si>
  <si>
    <t>Rijbanen</t>
  </si>
  <si>
    <t>Damwandlengte bij tunnelbuis</t>
  </si>
  <si>
    <t>Kortste damwand (bij begin toerit en eind afrit)</t>
  </si>
  <si>
    <t>Damwanden toe- en afritten</t>
  </si>
  <si>
    <t>Damwanden tunnelbuis</t>
  </si>
  <si>
    <t>Energieverbruik</t>
  </si>
  <si>
    <t>Elektriciteit</t>
  </si>
  <si>
    <t>Voorzetwand toe- en afritten</t>
  </si>
  <si>
    <t>Open bak is op diepste punt 7 m hoog</t>
  </si>
  <si>
    <t>~300 kWh per meter rijstrook</t>
  </si>
  <si>
    <t>Wandconstructie - rechte bak</t>
  </si>
  <si>
    <t>Aantal groutankers in tunnel</t>
  </si>
  <si>
    <t>kWh</t>
  </si>
  <si>
    <t>Ontgraven grond onderdoorgang</t>
  </si>
  <si>
    <t>Dit komt overeen met een helling van 1,6%</t>
  </si>
  <si>
    <t>Toe- en uitrit</t>
  </si>
  <si>
    <t xml:space="preserve">Hellingsgraad </t>
  </si>
  <si>
    <t>Kleeflagen</t>
  </si>
  <si>
    <t>kleeflagen tussen toplaag en tussenlaag, en tussen tussenlaag en onderlaag</t>
  </si>
  <si>
    <t>kleeflagen tussen toplaag en uitvullaag</t>
  </si>
  <si>
    <t>Aantal rijstroken voor 1 rijbaan</t>
  </si>
  <si>
    <t>Aanwezigheid vluchtstroken</t>
  </si>
  <si>
    <t>0 = nee, 1 = ja</t>
  </si>
  <si>
    <t>kleeflagen tussen toplaag en tunnelbuis</t>
  </si>
  <si>
    <t>kleeflagen tussen toplaag en open bak</t>
  </si>
  <si>
    <t>kleeflaag tussen toplaag en uitvullaag</t>
  </si>
  <si>
    <t>Verlichting</t>
  </si>
  <si>
    <t>Verlichting middenberm</t>
  </si>
  <si>
    <t>Afstand tussen lichtmasten</t>
  </si>
  <si>
    <t>Bij invoer in DuboCalc 0 of 1 om aan te geven of er wel of geen lichtmasten van toepassing zijn</t>
  </si>
  <si>
    <t>Verlichting in de berm (om-en-om qua zijdes)</t>
  </si>
  <si>
    <t>Open bak is op diepste punt 6,5 m hoog</t>
  </si>
  <si>
    <t>DuboCalc-item 6.0</t>
  </si>
  <si>
    <t>Betonmortel voor GWW C4555 CEM III 2387 kgm3 compleet</t>
  </si>
  <si>
    <t>CEMI-CEMIII niet meer beschikbaar, gekozen voor CEMIII. C55/67 niet meer beschikbaar, gekozen voor C45/55</t>
  </si>
  <si>
    <t>Deelproduct: Constructies in kg of m3, Voorspanstaal</t>
  </si>
  <si>
    <t>Deelproduct: Constructies in kg of m3, Wapeningsstaal</t>
  </si>
  <si>
    <t>Lengtemarkering, thermoplastisch, doorlopend</t>
  </si>
  <si>
    <t>Geleiderail op rijbaanscheiding</t>
  </si>
  <si>
    <t>Funderingslaag Hydraulisch menggranulaat 250mm</t>
  </si>
  <si>
    <t>Lichtmast, aluminium, 6 meter</t>
  </si>
  <si>
    <t>38 SPOORWERKEN, BID-301 BAAN EN BOVENBOUW, 1. Ballast (BID-301.01)</t>
  </si>
  <si>
    <t>Invoer in m moet nu juist wel. Omrekenen naar m1 dus</t>
  </si>
  <si>
    <t>38 SPOORWERKEN, BID-412 &amp; BID-413 BOVENLEIDING, 1. Paal 240B (BID-412.01)</t>
  </si>
  <si>
    <t>Let op: invoer voor fundering is juist wel in stuks i.p.v. m1.</t>
  </si>
  <si>
    <t>38 SPOORWERKEN, BID-412 &amp; BID-413 BOVENLEIDING, 4. Fundatie V2b (BID-412.05)</t>
  </si>
  <si>
    <t>38 SPOORWERKEN, BID-412 &amp; BID-413 BOVENLEIDING, 3. Arm type AEL &amp; ADL (BID-412.04)</t>
  </si>
  <si>
    <t>38 SPOORWERKEN, BID-412 &amp; BID-413 BOVENLEIDING, 2. RHS Balk (BID-412.02)</t>
  </si>
  <si>
    <t>38 SPOORWERKEN, BID-412 &amp; BID-413 BOVENLEIDING, 5. Ankerblok AN4 (BID-412.03)</t>
  </si>
  <si>
    <t>38 SPOORWERKEN, BID-205 GELUIDSSCHERMEN, 1. Aluminium cassette geluidscherm (BID-205.01)</t>
  </si>
  <si>
    <t>Straatwerk elementen, baksteen</t>
  </si>
  <si>
    <t>DZOAB 0PR</t>
  </si>
  <si>
    <t>SMANL 811</t>
  </si>
  <si>
    <t>267-80 niet meer beschikbaar in de bibliotheek</t>
  </si>
  <si>
    <t>AC bin base 50%PR cat. 2</t>
  </si>
  <si>
    <t>Ophoogmateriaal, zand</t>
  </si>
  <si>
    <t>Schaalbaar item</t>
  </si>
  <si>
    <t>38 SPOORWERKEN, BID-301 BAAN EN BOVENBOUW, 3. NS 90 Dwarsligger (BID-301.03)</t>
  </si>
  <si>
    <t>38 SPOORWERKEN, BID-301 BAAN EN BOVENBOUW, 2. Spoorstaaf 54E1 (BID-301.02)</t>
  </si>
  <si>
    <t>Hoeveelheid</t>
  </si>
  <si>
    <t>kg</t>
  </si>
  <si>
    <t>aanname: 2,5 ton/m3</t>
  </si>
  <si>
    <t>Leuningen, Staal gecoat, rond 60 mm</t>
  </si>
  <si>
    <t>betreft trekschoor; aanname: 4,3 kg/m1
materiaal vergelijkbaar met voorspanstaal
bron: https://www.railpro.online/p/trekschoor-trb-1-12-150mm/716/
Lijkt een foutje in de eerdere berekening te zitten (veel te veel meters)</t>
  </si>
  <si>
    <t>Eenheid in Excel is stuks. Eenheid in DC is m2. Omrekening is dus nodig.
Aanname: 3 meter hoog</t>
  </si>
  <si>
    <t>267-80 niet meer beschikbaar in de bibliotheek. De geleiderails schalen niet lineair met de lengte: een verdubbeling van de lengte van het viaduct leidt tot een 10% toename van de lengte van de geleiderails. Daarom worden ze als vast object beschouwd.</t>
  </si>
  <si>
    <t>De geleiderails schalen niet lineair met de lengte: een verdubbeling van de lengte van het viaduct leidt tot een 10% toename van de lengte van de geleiderails. Daarom worden ze als vast object beschouwd.</t>
  </si>
  <si>
    <t>betreft trekschoor; aanname: 4,3 kg/m1
materiaal vergelijkbaar met voorspanstaal
bron: https://www.railpro.online/p/trekschoor-trb-1-12-150mm/716/
Lijkt een foutje in de eerdere berekening te zitten (veel te veel meters). Nu gecorrigeerd</t>
  </si>
  <si>
    <t>Betonmortel voor GWW C3037 CEM III 2386 kgm3 compleet</t>
  </si>
  <si>
    <t>Damwand, staal</t>
  </si>
  <si>
    <t>Omrekenen van ton naar m2</t>
  </si>
  <si>
    <t>Betonplaat, gewapend</t>
  </si>
  <si>
    <t>1 item voor grout en anker</t>
  </si>
  <si>
    <t>Ankers, met groutelement</t>
  </si>
  <si>
    <t>Betonmortel voor GWW C3545 CEM III 2391 kgm3 compleet</t>
  </si>
  <si>
    <t>Betontegels 300x300x45mm grijs</t>
  </si>
  <si>
    <t>AC surf 0%PR cat. 2</t>
  </si>
  <si>
    <t>Geleiderails en afscherming viaduct</t>
  </si>
  <si>
    <t>Geleiderails langs weg viaduct</t>
  </si>
  <si>
    <t>Geleiderails langs weg toe- en afrit</t>
  </si>
  <si>
    <t>Geleiderails en afscherming toe- en afrit</t>
  </si>
  <si>
    <t>Aanname: vergelijkbaar met een spoorstaaf.</t>
  </si>
  <si>
    <t>Betonmortel voor GWW C3545 CEM I + 2kgm3 PP vezel 2353 kgm3 compleet</t>
  </si>
  <si>
    <t>Aanmerken in DuboCalc als vrijkomend materiaal?</t>
  </si>
  <si>
    <t>Bitumen emulsie kleeflaag 0,4 kgm2</t>
  </si>
  <si>
    <t>Geschaald naar hoogte van 15 m</t>
  </si>
  <si>
    <t>Paal, beton</t>
  </si>
  <si>
    <t>Gietasfalt waterbouw</t>
  </si>
  <si>
    <t>Per strekkende meter</t>
  </si>
  <si>
    <t>Paal, staal</t>
  </si>
  <si>
    <t>Betonpaal 400x400 mm doorsnede</t>
  </si>
  <si>
    <t>01 Energie, Elektriciteit, Elektriciteit grijs</t>
  </si>
  <si>
    <t xml:space="preserve">Betonmortel voor GWW C3545 CEM III 30% granulaat 2386 kgm3 compleet </t>
  </si>
  <si>
    <t xml:space="preserve">Betonstraatsteen deklaagsteen 210x105x80mm grijs </t>
  </si>
  <si>
    <t>Band, beton</t>
  </si>
  <si>
    <t>Betontegels 300x300x60mm grijs</t>
  </si>
  <si>
    <t>Normale betontegel is 45 mm, dik is dan 60 mm</t>
  </si>
  <si>
    <t>lengte 15m</t>
  </si>
  <si>
    <t>cat. 2 o.b.v. NLPCR v1.0</t>
  </si>
  <si>
    <t>Staal constructieprofiel, Groot IPE600</t>
  </si>
  <si>
    <t>125 kg/m1</t>
  </si>
  <si>
    <t>buisdiameter x wanddikte; 82,5 x 17,5 mm</t>
  </si>
  <si>
    <t>schaalbaar item, geschaald naar h=15m</t>
  </si>
  <si>
    <t xml:space="preserve">42 BETONCONSTRUCTIES, 42.34 ONDERWATERBETON, Onderwaterbeton C3037 </t>
  </si>
  <si>
    <t>31 WEGVERHARDING II, 31.21 ASFALTVERHARDING, Bitumen emulsie kleeflaag 0,3 kgm2</t>
  </si>
  <si>
    <t>Per redresseerstrook</t>
  </si>
  <si>
    <t>Per rijstrook</t>
  </si>
  <si>
    <t>Breedte tussenstuk</t>
  </si>
  <si>
    <t>Wegportalen</t>
  </si>
  <si>
    <t>Verkeerskundige draagconstructie</t>
  </si>
  <si>
    <t>Er staat nu 1 type verkeersportaal in de NMD / DuboCalc. Graag toevoegen aan het object.</t>
  </si>
  <si>
    <t>Stalen verkeersportaal, combi, 25,5 tm 40 m overspanning, met een technische levensduur van 50 jaar</t>
  </si>
  <si>
    <t>Nieuwe stalen geleiderails type F2DL 40080</t>
  </si>
  <si>
    <t>Geleiderail op rijbaanscheiding toe- en afrit</t>
  </si>
  <si>
    <t>Geleiderail op rijbaanscheiding viaduct</t>
  </si>
  <si>
    <t>Ophoogmateriaal, grond</t>
  </si>
  <si>
    <t>Gem. genomen van toe- en afrit; aanname: 2,5 ton/m3</t>
  </si>
  <si>
    <t>schaalbaar</t>
  </si>
  <si>
    <t>Toe- en afrit</t>
  </si>
  <si>
    <t xml:space="preserve">Achtergronddocument DuboCalc Objectenbibliotheek (Gedeelde Elementen Extern) </t>
  </si>
  <si>
    <t>Opdrachtgever: Rijkswaterstaat</t>
  </si>
  <si>
    <t>Opdrachtnemer: Witteveen+Bos</t>
  </si>
  <si>
    <t xml:space="preserve">Dit is een achtergronddocument bij de Objectenbibliotheek (Gedeelde Elementen Extern) in DuboCalc. Vragen of feedback op dit document kunnen gemeld worden door middel van de feedback-knop in DuboCalc. De support-desk van DuboCalc zal dan nagaan met welke organisatie deze feedback het beste gedeeld kan worden.  
De gegevens in dit bestand zijn indicatief voor de opbouw van objecten in de Grond-, Weg- en Waterbouwsector. Voor het opstellen van MKI-berekeningen voor projecten dienen de betrokkenen altijd de informatie en uitgangspunten aan te passen aan de projectspecifieke context. </t>
  </si>
  <si>
    <t xml:space="preserve">Versie: 3.0 </t>
  </si>
  <si>
    <t>Algemene omschrijving</t>
  </si>
  <si>
    <t>Omschrijving DuboCalc</t>
  </si>
  <si>
    <t>Dit object betreft een fiets- of voetgangersbrug over water met een overspanning van 12 meter en 2 rijstroken. Deze varianten zijn uitgevoerd in beton, staal of hout. Er is geen sprake van een profiel van vrije ruimte onder deze brug.</t>
  </si>
  <si>
    <t>Toepassing / representativiteit</t>
  </si>
  <si>
    <t>Deze kleine brug is zowel representatief voor een fietsbrug als een voetgangersbrug, als een gecombineerde fiets- en voetgangersbrug</t>
  </si>
  <si>
    <t>Opmerking t.a.v. de scope</t>
  </si>
  <si>
    <t>Verlichting op de bruggen is geen onderdeel van dit object. Indien de brug voorzien is van verlichting, dan dient de gebruiker deze onderdelen zelf nog toe te voegen aan de berekening.</t>
  </si>
  <si>
    <t>Lengte brugoverspanning</t>
  </si>
  <si>
    <t>Lengte aanbrug/helling</t>
  </si>
  <si>
    <t>Aantal aanbruggen</t>
  </si>
  <si>
    <t>Dikte brugdek</t>
  </si>
  <si>
    <t>Totale bruglengte</t>
  </si>
  <si>
    <t>Oppervlakte overspanning</t>
  </si>
  <si>
    <t>Oppervlakte aanbruggen</t>
  </si>
  <si>
    <t>Totale oppervlakte brug</t>
  </si>
  <si>
    <t>Vezelversterkte kunststof (VVK)</t>
  </si>
  <si>
    <t>Stalen palen en UNP ligger</t>
  </si>
  <si>
    <t>125 kg/m1, 7800 kg/m3</t>
  </si>
  <si>
    <t>Aanbrengen vvk in dek/web core sandwich</t>
  </si>
  <si>
    <t>Niet beschikbaar in DuboCalc</t>
  </si>
  <si>
    <t>Aanbrengen balsa in dek/web core sandwich</t>
  </si>
  <si>
    <t>Aanbrengen PU schuim in web core sandwich</t>
  </si>
  <si>
    <t>Aanbrengen hars in web core sandwich</t>
  </si>
  <si>
    <t>Aanbrengen leuningwerken</t>
  </si>
  <si>
    <t>Aanbrengen randliggers aanbruggen</t>
  </si>
  <si>
    <t xml:space="preserve">Betonmortel voor GWW C3545 CEM III 2386 kgm3 compleet </t>
  </si>
  <si>
    <t>0,4x0,4m doorsnede</t>
  </si>
  <si>
    <t>Wegverharding</t>
  </si>
  <si>
    <t xml:space="preserve">Aanbrengen slijtlaag </t>
  </si>
  <si>
    <t>Periphalt NC100 v21-08-2019</t>
  </si>
  <si>
    <t>Dikte 1 cm, 2500 kg/m3</t>
  </si>
  <si>
    <t>Aanbrengen beton in palen</t>
  </si>
  <si>
    <t>Aanbrengen wapening in palen</t>
  </si>
  <si>
    <t xml:space="preserve">Aanbrengen beton in landhoofd </t>
  </si>
  <si>
    <t>Aanbrengen wapening landhoofd</t>
  </si>
  <si>
    <t>Aanbrengen insitu gestort beton in plaatligger</t>
  </si>
  <si>
    <t>ca. 0,45m dikte</t>
  </si>
  <si>
    <t>Aanbrengen wapening plaatligger</t>
  </si>
  <si>
    <t>120 kg/m3</t>
  </si>
  <si>
    <t>Aanbrengen voorspanstaal plaatligger</t>
  </si>
  <si>
    <t>ca. 30 kg/m3</t>
  </si>
  <si>
    <t>Balustrades, Staal, gepoedercoat; spijlen</t>
  </si>
  <si>
    <t>Aanbrengen asfalt</t>
  </si>
  <si>
    <t>Dikte 4 cm, 2500 kg/m3</t>
  </si>
  <si>
    <t>Staal</t>
  </si>
  <si>
    <t>Aanbrengen plaatligger</t>
  </si>
  <si>
    <t>Gelaste profielen</t>
  </si>
  <si>
    <t>Hout</t>
  </si>
  <si>
    <t>Aanbrengen houten dek</t>
  </si>
  <si>
    <t>Beschoeiing, Afrikaans hout</t>
  </si>
  <si>
    <t>0,0284 m3/m1 en 1,06 ton/m3</t>
  </si>
  <si>
    <t>Aanbrengen bevestigingsmiddelen</t>
  </si>
  <si>
    <t>Dit object betreft een fiets- of voetgangersbrug over water met een overspanning van 40 meter en 2 rijstroken. Deze varianten zijn uitgevoerd in beton, staal of hout. Het profiel van vrije ruimte onder de brug is 9,8 meter.</t>
  </si>
  <si>
    <t>100 kg/m3</t>
  </si>
  <si>
    <t>Trappen</t>
  </si>
  <si>
    <t>Aanbrengen taludtrappen</t>
  </si>
  <si>
    <t>Aanbrengen lichtmasten</t>
  </si>
  <si>
    <t>Lichtmast staal schaalbaar</t>
  </si>
  <si>
    <t>1 mast per 10m, h=4m bovengronds (in berekening 5,5 meter totaal)</t>
  </si>
  <si>
    <t>Aanbrengen vakwerk / overig staal</t>
  </si>
  <si>
    <t>Dit object betreft een fiets- of voetgangersbrug over water met een overspanning van 90 meter en 2 rijstroken. Deze varianten zijn uitgevoerd in beton of staal. Het profiel van vrije ruimte onder de brug is 9,8 meter.</t>
  </si>
  <si>
    <t>160 kg/m3</t>
  </si>
  <si>
    <t>Pijlers</t>
  </si>
  <si>
    <t>Aanbrengen beton in onderslagbalk</t>
  </si>
  <si>
    <t>120x120cm</t>
  </si>
  <si>
    <t>Aanbrengen wapening onderslagbalk</t>
  </si>
  <si>
    <t>ca. 200 kg/m3</t>
  </si>
  <si>
    <t>Aanbrengen beton in kolom</t>
  </si>
  <si>
    <t>3st, ca. 4m hoog, diameter 0,8m</t>
  </si>
  <si>
    <t>Aanbrengen wapening kolom</t>
  </si>
  <si>
    <t>Aanbrengen beton in funderingssloof</t>
  </si>
  <si>
    <t>2,4x1,0m</t>
  </si>
  <si>
    <t>Aanbrengen wapening funderingssloof</t>
  </si>
  <si>
    <t>ca. 140 kg/m3</t>
  </si>
  <si>
    <t>Aanbrengen beton in funderingspaal</t>
  </si>
  <si>
    <t>8st, 400x400mm, l=15m</t>
  </si>
  <si>
    <t>Aanbrengen wapening funderingspaal</t>
  </si>
  <si>
    <t>Aanbrengen voorspanstaal funderingspaal</t>
  </si>
  <si>
    <t>Aanbrengen lengtemarkering</t>
  </si>
  <si>
    <t>Markering op de as 1-2; l=1m, b=0,1m</t>
  </si>
  <si>
    <t>item is 0,2m breed, omgerekend naar 0,1m</t>
  </si>
  <si>
    <t>Dit object betreft een fiets- of voetgangersbrug over een weg met een overspanning van 12 meter en 2 rijstroken. Deze varianten zijn uitgevoerd in beton, staal of hout. Het profiel van vrije ruimte onder de brug is 4,6 meter.</t>
  </si>
  <si>
    <t>Betonmortel voor GWW C1215CEM III 2311 kgm3 compleet</t>
  </si>
  <si>
    <t>Dit object betreft een fiets- of voetgangersbrug over een weg met een overspanning van 40 meter en 2 rijstroken. Deze varianten zijn uitgevoerd in beton, staal of hout. Het profiel van vrije ruimte onder de brug is 4,6 meter.</t>
  </si>
  <si>
    <t>Dit object betreft een fiets- of voetgangersbrug over een weg met een overspanning van 90 meter en 2 rijstroken. Deze variant is uitgevoerd in beton of staal. Het profiel van vrije ruimte onder de brug is 4,6 meter.</t>
  </si>
  <si>
    <t>Aanbrengen betonstaal funderingspaal</t>
  </si>
  <si>
    <t>Datum: 8 oktober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</si>
</sst>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_(* #,##0.00_);_(* \(#,##0.00\);_(* &quot;-&quot;??_);_(@_)"/>
    <numFmt numFmtId="165" formatCode="0.000"/>
    <numFmt numFmtId="166" formatCode="0.0"/>
    <numFmt numFmtId="167" formatCode="_ * #,##0_ ;_ * \-#,##0_ ;_ * &quot;-&quot;??_ ;_ @_ "/>
    <numFmt numFmtId="168" formatCode="0.0000"/>
  </numFmts>
  <fonts count="33">
    <font>
      <sz val="11"/>
      <color theme="1"/>
      <name val="Calibri"/>
      <family val="2"/>
      <scheme val="minor"/>
    </font>
    <font>
      <b/>
      <sz val="11"/>
      <color theme="3"/>
      <name val="Calibri"/>
      <family val="2"/>
      <scheme val="minor"/>
    </font>
    <font>
      <b/>
      <sz val="11"/>
      <color theme="0"/>
      <name val="Calibri"/>
      <family val="2"/>
      <scheme val="minor"/>
    </font>
    <font>
      <sz val="11"/>
      <color theme="0"/>
      <name val="Calibri"/>
      <family val="2"/>
      <scheme val="minor"/>
    </font>
    <font>
      <b/>
      <sz val="11"/>
      <color theme="1"/>
      <name val="Calibri"/>
      <family val="2"/>
      <scheme val="minor"/>
    </font>
    <font>
      <b/>
      <sz val="10"/>
      <color rgb="FF000000"/>
      <name val="Arial"/>
      <family val="2"/>
    </font>
    <font>
      <sz val="10"/>
      <color rgb="FF000000"/>
      <name val="Arial"/>
      <family val="1"/>
      <charset val="2"/>
    </font>
    <font>
      <sz val="10"/>
      <color rgb="FF000000"/>
      <name val="Symbol"/>
      <family val="1"/>
      <charset val="2"/>
    </font>
    <font>
      <vertAlign val="subscript"/>
      <sz val="10"/>
      <color rgb="FF000000"/>
      <name val="Arial"/>
      <family val="2"/>
    </font>
    <font>
      <vertAlign val="superscript"/>
      <sz val="10"/>
      <color rgb="FF000000"/>
      <name val="Arial"/>
      <family val="2"/>
    </font>
    <font>
      <i/>
      <sz val="10"/>
      <color rgb="FF000000"/>
      <name val="Arial"/>
      <family val="1"/>
      <charset val="2"/>
    </font>
    <font>
      <i/>
      <sz val="10"/>
      <color rgb="FF000000"/>
      <name val="Symbol"/>
      <family val="1"/>
      <charset val="2"/>
    </font>
    <font>
      <i/>
      <vertAlign val="subscript"/>
      <sz val="10"/>
      <color rgb="FF000000"/>
      <name val="Arial"/>
      <family val="2"/>
    </font>
    <font>
      <i/>
      <sz val="10"/>
      <color rgb="FF000000"/>
      <name val="Arial"/>
      <family val="2"/>
    </font>
    <font>
      <i/>
      <vertAlign val="superscript"/>
      <sz val="10"/>
      <color rgb="FF000000"/>
      <name val="Arial"/>
      <family val="2"/>
    </font>
    <font>
      <sz val="10"/>
      <color rgb="FF000000"/>
      <name val="Arial"/>
      <family val="2"/>
    </font>
    <font>
      <b/>
      <sz val="9"/>
      <color indexed="81"/>
      <name val="Tahoma"/>
      <family val="2"/>
    </font>
    <font>
      <sz val="9"/>
      <color indexed="81"/>
      <name val="Tahoma"/>
      <family val="2"/>
    </font>
    <font>
      <sz val="11"/>
      <color rgb="FFFF0000"/>
      <name val="Calibri"/>
      <family val="2"/>
      <scheme val="minor"/>
    </font>
    <font>
      <sz val="11"/>
      <color theme="4"/>
      <name val="Calibri"/>
      <family val="2"/>
      <scheme val="minor"/>
    </font>
    <font>
      <i/>
      <sz val="11"/>
      <color theme="1"/>
      <name val="Calibri"/>
      <family val="2"/>
      <scheme val="minor"/>
    </font>
    <font>
      <u/>
      <sz val="11"/>
      <color theme="10"/>
      <name val="Calibri"/>
      <family val="2"/>
      <scheme val="minor"/>
    </font>
    <font>
      <sz val="11"/>
      <color theme="1"/>
      <name val="Calibri"/>
      <family val="2"/>
      <scheme val="minor"/>
    </font>
    <font>
      <sz val="8"/>
      <name val="Calibri"/>
      <family val="2"/>
      <scheme val="minor"/>
    </font>
    <font>
      <sz val="10"/>
      <color rgb="FF000000"/>
      <name val="Calibri"/>
      <family val="2"/>
      <scheme val="minor"/>
    </font>
    <font>
      <sz val="11"/>
      <color rgb="FF000000"/>
      <name val="Calibri"/>
      <family val="2"/>
      <scheme val="minor"/>
    </font>
    <font>
      <b/>
      <sz val="11"/>
      <color rgb="FF000000"/>
      <name val="Calibri"/>
      <family val="2"/>
      <scheme val="minor"/>
    </font>
    <font>
      <sz val="11"/>
      <name val="Calibri"/>
      <family val="2"/>
      <scheme val="minor"/>
    </font>
    <font>
      <b/>
      <sz val="11"/>
      <name val="Calibri"/>
      <family val="2"/>
      <scheme val="minor"/>
    </font>
    <font>
      <i/>
      <sz val="11"/>
      <name val="Calibri"/>
      <family val="2"/>
      <scheme val="minor"/>
    </font>
    <font>
      <sz val="10"/>
      <name val="Calibri"/>
      <family val="2"/>
      <scheme val="minor"/>
    </font>
    <font>
      <b/>
      <sz val="16"/>
      <color theme="1"/>
      <name val="Calibri"/>
      <family val="2"/>
      <scheme val="minor"/>
    </font>
    <font>
      <b/>
      <sz val="16"/>
      <color rgb="FF0070C0"/>
      <name val="Calibri"/>
      <family val="2"/>
      <scheme val="minor"/>
    </font>
  </fonts>
  <fills count="4">
    <fill>
      <patternFill patternType="none"/>
    </fill>
    <fill>
      <patternFill patternType="gray125"/>
    </fill>
    <fill>
      <patternFill patternType="solid">
        <fgColor theme="8"/>
      </patternFill>
    </fill>
    <fill>
      <patternFill patternType="solid">
        <fgColor rgb="FFFFFF00"/>
        <bgColor indexed="64"/>
      </patternFill>
    </fill>
  </fills>
  <borders count="4">
    <border>
      <left/>
      <right/>
      <top/>
      <bottom/>
      <diagonal/>
    </border>
    <border>
      <left/>
      <right/>
      <top/>
      <bottom style="medium">
        <color theme="4" tint="0.39997558519241921"/>
      </bottom>
      <diagonal/>
    </border>
    <border>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s>
  <cellStyleXfs count="8">
    <xf numFmtId="0" fontId="0" fillId="0" borderId="0"/>
    <xf numFmtId="0" fontId="1" fillId="0" borderId="1" applyNumberFormat="0" applyFill="0" applyAlignment="0" applyProtection="0"/>
    <xf numFmtId="0" fontId="3" fillId="2" borderId="0" applyNumberFormat="0" applyBorder="0" applyAlignment="0" applyProtection="0"/>
    <xf numFmtId="0" fontId="15" fillId="0" borderId="0"/>
    <xf numFmtId="0" fontId="21" fillId="0" borderId="0" applyNumberForma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cellStyleXfs>
  <cellXfs count="107">
    <xf numFmtId="0" fontId="0" fillId="0" borderId="0" xfId="0"/>
    <xf numFmtId="0" fontId="1" fillId="0" borderId="1" xfId="1"/>
    <xf numFmtId="0" fontId="2" fillId="2" borderId="0" xfId="2" applyFont="1"/>
    <xf numFmtId="0" fontId="4" fillId="0" borderId="0" xfId="0" applyFont="1"/>
    <xf numFmtId="0" fontId="0" fillId="0" borderId="0" xfId="0" applyFont="1"/>
    <xf numFmtId="0" fontId="5" fillId="0" borderId="0" xfId="0" applyFont="1"/>
    <xf numFmtId="0" fontId="6" fillId="0" borderId="0" xfId="0" applyFont="1"/>
    <xf numFmtId="0" fontId="10" fillId="0" borderId="0" xfId="0" applyFont="1"/>
    <xf numFmtId="0" fontId="13" fillId="0" borderId="0" xfId="0" applyFont="1"/>
    <xf numFmtId="2" fontId="0" fillId="0" borderId="0" xfId="0" applyNumberFormat="1"/>
    <xf numFmtId="165" fontId="0" fillId="0" borderId="0" xfId="0" applyNumberFormat="1"/>
    <xf numFmtId="166" fontId="0" fillId="0" borderId="0" xfId="0" applyNumberFormat="1"/>
    <xf numFmtId="0" fontId="15" fillId="0" borderId="0" xfId="0" applyFont="1"/>
    <xf numFmtId="0" fontId="0" fillId="0" borderId="0" xfId="0" applyFill="1"/>
    <xf numFmtId="1" fontId="0" fillId="0" borderId="0" xfId="0" applyNumberFormat="1" applyFont="1"/>
    <xf numFmtId="1" fontId="0" fillId="0" borderId="0" xfId="0" applyNumberFormat="1"/>
    <xf numFmtId="1" fontId="0" fillId="0" borderId="0" xfId="0" applyNumberFormat="1" applyFont="1" applyFill="1"/>
    <xf numFmtId="0" fontId="18" fillId="0" borderId="0" xfId="0" applyFont="1"/>
    <xf numFmtId="2" fontId="19" fillId="0" borderId="0" xfId="0" applyNumberFormat="1" applyFont="1"/>
    <xf numFmtId="0" fontId="0" fillId="0" borderId="0" xfId="0" quotePrefix="1"/>
    <xf numFmtId="0" fontId="0" fillId="0" borderId="0" xfId="0" applyFont="1" applyAlignment="1">
      <alignment horizontal="right"/>
    </xf>
    <xf numFmtId="0" fontId="4" fillId="0" borderId="0" xfId="0" applyFont="1" applyFill="1"/>
    <xf numFmtId="0" fontId="20" fillId="3" borderId="0" xfId="0" applyFont="1" applyFill="1"/>
    <xf numFmtId="9" fontId="0" fillId="0" borderId="0" xfId="0" applyNumberFormat="1"/>
    <xf numFmtId="0" fontId="21" fillId="0" borderId="0" xfId="4"/>
    <xf numFmtId="0" fontId="0" fillId="0" borderId="0" xfId="0" quotePrefix="1" applyFill="1"/>
    <xf numFmtId="2" fontId="0" fillId="0" borderId="0" xfId="0" applyNumberFormat="1" applyFont="1" applyFill="1"/>
    <xf numFmtId="2" fontId="0" fillId="0" borderId="0" xfId="0" applyNumberFormat="1" applyFont="1"/>
    <xf numFmtId="165" fontId="0" fillId="0" borderId="0" xfId="0" applyNumberFormat="1" applyFont="1"/>
    <xf numFmtId="167" fontId="0" fillId="0" borderId="0" xfId="5" applyNumberFormat="1" applyFont="1"/>
    <xf numFmtId="1" fontId="0" fillId="0" borderId="0" xfId="0" applyNumberFormat="1" applyFill="1"/>
    <xf numFmtId="0" fontId="0" fillId="0" borderId="0" xfId="0" applyFont="1" applyAlignment="1">
      <alignment vertical="top"/>
    </xf>
    <xf numFmtId="0" fontId="0" fillId="0" borderId="0" xfId="0" applyAlignment="1">
      <alignment vertical="top"/>
    </xf>
    <xf numFmtId="2" fontId="0" fillId="0" borderId="0" xfId="0" applyNumberFormat="1" applyFont="1" applyAlignment="1">
      <alignment vertical="top"/>
    </xf>
    <xf numFmtId="1" fontId="0" fillId="0" borderId="0" xfId="0" applyNumberFormat="1" applyFont="1" applyAlignment="1">
      <alignment vertical="top"/>
    </xf>
    <xf numFmtId="0" fontId="0" fillId="0" borderId="0" xfId="0" applyAlignment="1">
      <alignment vertical="top" wrapText="1"/>
    </xf>
    <xf numFmtId="1" fontId="0" fillId="0" borderId="0" xfId="0" applyNumberFormat="1" applyFont="1" applyFill="1" applyAlignment="1">
      <alignment vertical="top"/>
    </xf>
    <xf numFmtId="2" fontId="0" fillId="0" borderId="0" xfId="0" applyNumberFormat="1" applyFont="1" applyFill="1" applyAlignment="1">
      <alignment vertical="top"/>
    </xf>
    <xf numFmtId="1" fontId="0" fillId="0" borderId="0" xfId="0" applyNumberFormat="1" applyAlignment="1">
      <alignment vertical="top"/>
    </xf>
    <xf numFmtId="0" fontId="0" fillId="0" borderId="0" xfId="0" applyFont="1" applyFill="1" applyAlignment="1">
      <alignment vertical="top"/>
    </xf>
    <xf numFmtId="0" fontId="0" fillId="0" borderId="0" xfId="0" applyFill="1" applyAlignment="1">
      <alignment vertical="top" wrapText="1"/>
    </xf>
    <xf numFmtId="0" fontId="0" fillId="0" borderId="0" xfId="0" applyFill="1" applyAlignment="1">
      <alignment vertical="top"/>
    </xf>
    <xf numFmtId="1" fontId="0" fillId="0" borderId="0" xfId="0" applyNumberFormat="1" applyFill="1" applyAlignment="1">
      <alignment vertical="top"/>
    </xf>
    <xf numFmtId="166" fontId="0" fillId="0" borderId="0" xfId="0" applyNumberFormat="1" applyFill="1" applyAlignment="1">
      <alignment vertical="top"/>
    </xf>
    <xf numFmtId="2" fontId="0" fillId="0" borderId="0" xfId="0" applyNumberFormat="1" applyFill="1" applyAlignment="1">
      <alignment vertical="top"/>
    </xf>
    <xf numFmtId="0" fontId="0" fillId="0" borderId="0" xfId="5" applyNumberFormat="1" applyFont="1"/>
    <xf numFmtId="164" fontId="0" fillId="0" borderId="0" xfId="5" applyNumberFormat="1" applyFont="1"/>
    <xf numFmtId="0" fontId="0" fillId="0" borderId="0" xfId="0" applyFont="1" applyAlignment="1"/>
    <xf numFmtId="0" fontId="0" fillId="0" borderId="0" xfId="0" applyAlignment="1"/>
    <xf numFmtId="0" fontId="0" fillId="0" borderId="0" xfId="0" applyFont="1" applyFill="1"/>
    <xf numFmtId="167" fontId="0" fillId="0" borderId="0" xfId="5" applyNumberFormat="1" applyFont="1" applyAlignment="1"/>
    <xf numFmtId="0" fontId="0" fillId="0" borderId="0" xfId="5" applyNumberFormat="1" applyFont="1" applyAlignment="1"/>
    <xf numFmtId="164" fontId="0" fillId="0" borderId="0" xfId="5" applyNumberFormat="1" applyFont="1" applyAlignment="1"/>
    <xf numFmtId="0" fontId="0" fillId="0" borderId="0" xfId="0" applyFill="1" applyAlignment="1"/>
    <xf numFmtId="167" fontId="0" fillId="0" borderId="0" xfId="5" applyNumberFormat="1" applyFont="1" applyFill="1"/>
    <xf numFmtId="0" fontId="0" fillId="0" borderId="3" xfId="0" applyBorder="1"/>
    <xf numFmtId="0" fontId="0" fillId="0" borderId="2" xfId="0" applyFill="1" applyBorder="1"/>
    <xf numFmtId="0" fontId="0" fillId="0" borderId="0" xfId="0" applyAlignment="1">
      <alignment wrapText="1"/>
    </xf>
    <xf numFmtId="166" fontId="0" fillId="0" borderId="0" xfId="0" applyNumberFormat="1" applyFill="1"/>
    <xf numFmtId="167" fontId="0" fillId="0" borderId="0" xfId="0" applyNumberFormat="1"/>
    <xf numFmtId="0" fontId="0" fillId="0" borderId="0" xfId="0" applyFont="1" applyFill="1" applyAlignment="1"/>
    <xf numFmtId="2" fontId="0" fillId="0" borderId="0" xfId="0" applyNumberFormat="1" applyFill="1"/>
    <xf numFmtId="168" fontId="0" fillId="0" borderId="0" xfId="0" applyNumberFormat="1" applyFill="1"/>
    <xf numFmtId="0" fontId="22" fillId="0" borderId="0" xfId="0" applyFont="1"/>
    <xf numFmtId="0" fontId="1" fillId="0" borderId="1" xfId="1" applyFont="1"/>
    <xf numFmtId="0" fontId="24" fillId="0" borderId="0" xfId="3" applyFont="1"/>
    <xf numFmtId="0" fontId="24" fillId="0" borderId="0" xfId="3" applyFont="1" applyFill="1"/>
    <xf numFmtId="0" fontId="22" fillId="0" borderId="0" xfId="0" applyFont="1" applyFill="1"/>
    <xf numFmtId="0" fontId="1" fillId="0" borderId="1" xfId="1" applyFont="1" applyFill="1"/>
    <xf numFmtId="1" fontId="22" fillId="0" borderId="0" xfId="0" applyNumberFormat="1" applyFont="1"/>
    <xf numFmtId="166" fontId="22" fillId="0" borderId="0" xfId="0" applyNumberFormat="1" applyFont="1"/>
    <xf numFmtId="0" fontId="25" fillId="0" borderId="0" xfId="3" applyFont="1"/>
    <xf numFmtId="0" fontId="25" fillId="0" borderId="0" xfId="3" applyFont="1" applyFill="1"/>
    <xf numFmtId="0" fontId="26" fillId="0" borderId="0" xfId="3" applyFont="1"/>
    <xf numFmtId="2" fontId="25" fillId="0" borderId="0" xfId="3" applyNumberFormat="1" applyFont="1" applyFill="1"/>
    <xf numFmtId="166" fontId="25" fillId="0" borderId="0" xfId="3" applyNumberFormat="1" applyFont="1"/>
    <xf numFmtId="166" fontId="25" fillId="0" borderId="0" xfId="3" applyNumberFormat="1" applyFont="1" applyFill="1"/>
    <xf numFmtId="0" fontId="25" fillId="0" borderId="0" xfId="3" quotePrefix="1" applyFont="1"/>
    <xf numFmtId="10" fontId="25" fillId="0" borderId="0" xfId="3" applyNumberFormat="1" applyFont="1" applyFill="1"/>
    <xf numFmtId="167" fontId="0" fillId="0" borderId="0" xfId="5" applyNumberFormat="1" applyFont="1" applyFill="1" applyAlignment="1"/>
    <xf numFmtId="168" fontId="0" fillId="0" borderId="0" xfId="0" applyNumberFormat="1" applyFill="1" applyAlignment="1">
      <alignment vertical="top"/>
    </xf>
    <xf numFmtId="1" fontId="25" fillId="0" borderId="0" xfId="3" applyNumberFormat="1" applyFont="1" applyFill="1"/>
    <xf numFmtId="0" fontId="26" fillId="0" borderId="0" xfId="3" applyFont="1" applyFill="1"/>
    <xf numFmtId="167" fontId="25" fillId="0" borderId="0" xfId="5" applyNumberFormat="1" applyFont="1" applyFill="1"/>
    <xf numFmtId="165" fontId="0" fillId="0" borderId="0" xfId="0" applyNumberFormat="1" applyFont="1" applyFill="1" applyAlignment="1">
      <alignment vertical="top"/>
    </xf>
    <xf numFmtId="0" fontId="0" fillId="0" borderId="0" xfId="5" applyNumberFormat="1" applyFont="1" applyFill="1"/>
    <xf numFmtId="0" fontId="27" fillId="0" borderId="0" xfId="0" applyFont="1"/>
    <xf numFmtId="0" fontId="27" fillId="0" borderId="0" xfId="0" applyFont="1" applyFill="1"/>
    <xf numFmtId="0" fontId="0" fillId="0" borderId="0" xfId="0" applyFill="1" applyAlignment="1">
      <alignment wrapText="1"/>
    </xf>
    <xf numFmtId="0" fontId="28" fillId="0" borderId="0" xfId="0" applyFont="1" applyFill="1"/>
    <xf numFmtId="0" fontId="15" fillId="0" borderId="0" xfId="0" applyFont="1" applyFill="1"/>
    <xf numFmtId="0" fontId="29" fillId="3" borderId="1" xfId="1" applyFont="1" applyFill="1"/>
    <xf numFmtId="0" fontId="18" fillId="0" borderId="0" xfId="3" applyFont="1" applyFill="1"/>
    <xf numFmtId="0" fontId="27" fillId="0" borderId="0" xfId="3" applyFont="1" applyFill="1"/>
    <xf numFmtId="0" fontId="30" fillId="0" borderId="0" xfId="3" applyFont="1"/>
    <xf numFmtId="0" fontId="25" fillId="0" borderId="0" xfId="0" applyFont="1"/>
    <xf numFmtId="0" fontId="31" fillId="0" borderId="0" xfId="0" applyFont="1"/>
    <xf numFmtId="0" fontId="32" fillId="0" borderId="0" xfId="0" applyFont="1"/>
    <xf numFmtId="0" fontId="32" fillId="0" borderId="0" xfId="0" applyFont="1" applyAlignment="1">
      <alignment horizontal="left" vertical="center" readingOrder="1"/>
    </xf>
    <xf numFmtId="15" fontId="32" fillId="0" borderId="0" xfId="0" applyNumberFormat="1" applyFont="1" applyAlignment="1">
      <alignment horizontal="left" vertical="center" readingOrder="1"/>
    </xf>
    <xf numFmtId="0" fontId="1" fillId="0" borderId="1" xfId="1" applyFill="1"/>
    <xf numFmtId="164" fontId="0" fillId="0" borderId="0" xfId="7" applyFont="1"/>
    <xf numFmtId="164" fontId="0" fillId="0" borderId="0" xfId="7" applyFont="1" applyFill="1"/>
    <xf numFmtId="164" fontId="1" fillId="0" borderId="1" xfId="7" applyFont="1" applyBorder="1"/>
    <xf numFmtId="164" fontId="0" fillId="0" borderId="0" xfId="0" applyNumberFormat="1"/>
    <xf numFmtId="0" fontId="2" fillId="2" borderId="0" xfId="2" applyFont="1" applyAlignment="1"/>
    <xf numFmtId="0" fontId="32" fillId="0" borderId="0" xfId="0" applyFont="1" applyAlignment="1">
      <alignment horizontal="left" vertical="center" wrapText="1" readingOrder="1"/>
    </xf>
  </cellXfs>
  <cellStyles count="8">
    <cellStyle name="Accent5" xfId="2" builtinId="45"/>
    <cellStyle name="Comma 2" xfId="6"/>
    <cellStyle name="Comma 3" xfId="7"/>
    <cellStyle name="Hyperlink" xfId="4" builtinId="8"/>
    <cellStyle name="Komma" xfId="5" builtinId="3"/>
    <cellStyle name="Kop 3" xfId="1" builtinId="18"/>
    <cellStyle name="Normal 2" xfId="3"/>
    <cellStyle name="Standaard" xfId="0" builtinId="0"/>
  </cellStyles>
  <dxfs count="12">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40" Type="http://schemas.microsoft.com/office/2017/10/relationships/person" Target="persons/perso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418011</xdr:colOff>
      <xdr:row>0</xdr:row>
      <xdr:rowOff>165190</xdr:rowOff>
    </xdr:from>
    <xdr:to>
      <xdr:col>25</xdr:col>
      <xdr:colOff>294620</xdr:colOff>
      <xdr:row>42</xdr:row>
      <xdr:rowOff>131472</xdr:rowOff>
    </xdr:to>
    <xdr:pic>
      <xdr:nvPicPr>
        <xdr:cNvPr id="2" name="Picture 1">
          <a:extLst>
            <a:ext uri="{FF2B5EF4-FFF2-40B4-BE49-F238E27FC236}">
              <a16:creationId xmlns:a16="http://schemas.microsoft.com/office/drawing/2014/main" id="{1BD5DA28-E1DB-441C-B81A-65963471D54E}"/>
            </a:ext>
          </a:extLst>
        </xdr:cNvPr>
        <xdr:cNvPicPr>
          <a:picLocks noChangeAspect="1"/>
        </xdr:cNvPicPr>
      </xdr:nvPicPr>
      <xdr:blipFill>
        <a:blip xmlns:r="http://schemas.openxmlformats.org/officeDocument/2006/relationships" r:embed="rId1"/>
        <a:stretch>
          <a:fillRect/>
        </a:stretch>
      </xdr:blipFill>
      <xdr:spPr>
        <a:xfrm>
          <a:off x="14011547" y="165190"/>
          <a:ext cx="10907646" cy="7422996"/>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Bas Mentink" id="{094D1EE6-52BB-4FCA-B952-AC3D50CF552D}" userId="S::bas.mentink@rhdhv.com::d1ab4c1f-3230-4117-ba3d-27475d36dffe" providerId="AD"/>
  <person displayName="Veikko Schepel" id="{D6513B63-61AB-47E2-BCE8-87C5302BCC58}" userId="S::veikko.schepel@witteveenbos.com::f76aaa56-7a6e-4c11-9efa-fbef093389dc"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G21" dT="2021-02-26T14:30:05.27" personId="{D6513B63-61AB-47E2-BCE8-87C5302BCC58}" id="{6E99EFC5-25CE-4AA3-ABFA-714B6683053B}">
    <text>Alle hoeveelheden schalen lineair met de lengte van het traject.</text>
  </threadedComment>
</ThreadedComments>
</file>

<file path=xl/threadedComments/threadedComment2.xml><?xml version="1.0" encoding="utf-8"?>
<ThreadedComments xmlns="http://schemas.microsoft.com/office/spreadsheetml/2018/threadedcomments" xmlns:x="http://schemas.openxmlformats.org/spreadsheetml/2006/main">
  <threadedComment ref="B51" dT="2019-10-01T11:18:51.11" personId="{094D1EE6-52BB-4FCA-B952-AC3D50CF552D}" id="{7CD9991F-181F-4F1D-AC27-00F3F461CE6F}">
    <text>Toegevoegd</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hyperlink" Target="https://ds.arcelormittal.com/projects/foundationsolutions/products/product_range/steel_sheet_piles/z_sections/language/EN" TargetMode="External"/></Relationships>
</file>

<file path=xl/worksheets/_rels/sheet19.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5.bin"/><Relationship Id="rId1" Type="http://schemas.openxmlformats.org/officeDocument/2006/relationships/hyperlink" Target="https://ds.arcelormittal.com/projects/foundationsolutions/products/product_range/steel_sheet_piles/z_sections/language/EN" TargetMode="External"/><Relationship Id="rId5" Type="http://schemas.openxmlformats.org/officeDocument/2006/relationships/comments" Target="../comments5.xml"/><Relationship Id="rId4" Type="http://schemas.openxmlformats.org/officeDocument/2006/relationships/vmlDrawing" Target="../drawings/vmlDrawing5.v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_rels/sheet21.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9.xml.rels><?xml version="1.0" encoding="UTF-8" standalone="yes"?>
<Relationships xmlns="http://schemas.openxmlformats.org/package/2006/relationships"><Relationship Id="rId2" Type="http://schemas.openxmlformats.org/officeDocument/2006/relationships/printerSettings" Target="../printerSettings/printerSettings19.bin"/><Relationship Id="rId1" Type="http://schemas.openxmlformats.org/officeDocument/2006/relationships/hyperlink" Target="https://ds.arcelormittal.com/projects/foundationsolutions/products/product_range/steel_sheet_piles/z_sections/language/EN" TargetMode="External"/></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5.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25.bin"/><Relationship Id="rId4" Type="http://schemas.microsoft.com/office/2017/10/relationships/threadedComment" Target="../threadedComments/threadedComment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N9"/>
  <sheetViews>
    <sheetView tabSelected="1" zoomScale="85" zoomScaleNormal="85" workbookViewId="0">
      <selection activeCell="A10" sqref="A10"/>
    </sheetView>
  </sheetViews>
  <sheetFormatPr defaultRowHeight="15"/>
  <cols>
    <col min="1" max="1" width="11.7109375" customWidth="1"/>
  </cols>
  <sheetData>
    <row r="1" spans="1:14" ht="21">
      <c r="A1" s="97" t="s">
        <v>703</v>
      </c>
      <c r="B1" s="96"/>
    </row>
    <row r="2" spans="1:14" ht="21">
      <c r="A2" s="97"/>
      <c r="B2" s="96"/>
    </row>
    <row r="3" spans="1:14" ht="21">
      <c r="A3" s="97" t="s">
        <v>704</v>
      </c>
      <c r="B3" s="96"/>
    </row>
    <row r="4" spans="1:14" ht="21">
      <c r="A4" s="97" t="s">
        <v>705</v>
      </c>
      <c r="B4" s="96"/>
    </row>
    <row r="5" spans="1:14" ht="21">
      <c r="A5" s="98" t="s">
        <v>707</v>
      </c>
      <c r="B5" s="96"/>
    </row>
    <row r="6" spans="1:14" ht="21">
      <c r="A6" s="99" t="s">
        <v>794</v>
      </c>
      <c r="B6" s="96"/>
    </row>
    <row r="7" spans="1:14" ht="21">
      <c r="A7" s="97"/>
      <c r="B7" s="96"/>
    </row>
    <row r="8" spans="1:14" ht="207.75" customHeight="1">
      <c r="A8" s="106" t="s">
        <v>706</v>
      </c>
      <c r="B8" s="106"/>
      <c r="C8" s="106"/>
      <c r="D8" s="106"/>
      <c r="E8" s="106"/>
      <c r="F8" s="106"/>
      <c r="G8" s="106"/>
      <c r="H8" s="106"/>
      <c r="I8" s="106"/>
      <c r="J8" s="106"/>
      <c r="K8" s="106"/>
      <c r="L8" s="106"/>
      <c r="M8" s="106"/>
      <c r="N8" s="106"/>
    </row>
    <row r="9" spans="1:14" ht="21">
      <c r="A9" s="98"/>
    </row>
  </sheetData>
  <mergeCells count="1">
    <mergeCell ref="A8:N8"/>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5"/>
  </sheetPr>
  <dimension ref="A1:H74"/>
  <sheetViews>
    <sheetView topLeftCell="A31" zoomScale="70" zoomScaleNormal="70" workbookViewId="0">
      <selection activeCell="A73" sqref="A73:A76"/>
    </sheetView>
  </sheetViews>
  <sheetFormatPr defaultRowHeight="15"/>
  <cols>
    <col min="1" max="1" width="20.28515625" bestFit="1" customWidth="1"/>
    <col min="2" max="2" width="52.85546875" bestFit="1" customWidth="1"/>
    <col min="3" max="3" width="9.140625" bestFit="1" customWidth="1"/>
    <col min="4" max="4" width="14.85546875" bestFit="1" customWidth="1"/>
    <col min="5" max="5" width="57.85546875" bestFit="1" customWidth="1"/>
    <col min="6" max="6" width="61.85546875" customWidth="1"/>
    <col min="7" max="7" width="15.85546875" bestFit="1" customWidth="1"/>
    <col min="8" max="8" width="11" bestFit="1" customWidth="1"/>
    <col min="9" max="9" width="12.140625" bestFit="1" customWidth="1"/>
  </cols>
  <sheetData>
    <row r="1" spans="1:6">
      <c r="A1" s="2" t="s">
        <v>0</v>
      </c>
    </row>
    <row r="2" spans="1:6" ht="15.75" thickBot="1">
      <c r="B2" s="1" t="s">
        <v>1</v>
      </c>
      <c r="C2" s="1"/>
      <c r="D2" s="1" t="s">
        <v>2</v>
      </c>
      <c r="E2" s="1" t="s">
        <v>3</v>
      </c>
      <c r="F2" s="1" t="s">
        <v>4</v>
      </c>
    </row>
    <row r="3" spans="1:6">
      <c r="B3" t="s">
        <v>6</v>
      </c>
      <c r="D3">
        <v>2</v>
      </c>
      <c r="E3" t="s">
        <v>5</v>
      </c>
      <c r="F3" t="s">
        <v>12</v>
      </c>
    </row>
    <row r="4" spans="1:6">
      <c r="B4" t="s">
        <v>400</v>
      </c>
      <c r="D4">
        <v>2</v>
      </c>
      <c r="E4" t="s">
        <v>5</v>
      </c>
      <c r="F4" t="s">
        <v>12</v>
      </c>
    </row>
    <row r="5" spans="1:6">
      <c r="B5" t="s">
        <v>389</v>
      </c>
      <c r="D5">
        <v>80</v>
      </c>
      <c r="E5" t="s">
        <v>21</v>
      </c>
    </row>
    <row r="7" spans="1:6">
      <c r="A7" s="2" t="s">
        <v>11</v>
      </c>
    </row>
    <row r="8" spans="1:6" ht="15.75" thickBot="1">
      <c r="B8" s="1" t="s">
        <v>1</v>
      </c>
      <c r="C8" s="1"/>
      <c r="D8" s="1" t="s">
        <v>2</v>
      </c>
      <c r="E8" s="1" t="s">
        <v>3</v>
      </c>
      <c r="F8" s="1" t="s">
        <v>4</v>
      </c>
    </row>
    <row r="9" spans="1:6">
      <c r="B9" t="s">
        <v>483</v>
      </c>
      <c r="D9">
        <v>15</v>
      </c>
      <c r="E9" t="s">
        <v>102</v>
      </c>
    </row>
    <row r="10" spans="1:6">
      <c r="B10" t="s">
        <v>484</v>
      </c>
      <c r="D10">
        <v>2</v>
      </c>
      <c r="E10" t="s">
        <v>485</v>
      </c>
    </row>
    <row r="11" spans="1:6">
      <c r="B11" t="s">
        <v>486</v>
      </c>
      <c r="D11">
        <v>2</v>
      </c>
      <c r="E11" t="s">
        <v>487</v>
      </c>
    </row>
    <row r="12" spans="1:6">
      <c r="B12" t="s">
        <v>488</v>
      </c>
      <c r="D12">
        <v>4</v>
      </c>
      <c r="E12" t="s">
        <v>487</v>
      </c>
    </row>
    <row r="13" spans="1:6">
      <c r="B13" t="s">
        <v>25</v>
      </c>
      <c r="D13">
        <v>0</v>
      </c>
      <c r="E13" t="s">
        <v>487</v>
      </c>
    </row>
    <row r="14" spans="1:6">
      <c r="B14" t="s">
        <v>489</v>
      </c>
      <c r="D14">
        <f>ROUNDUP(D5/25,1)</f>
        <v>3.2</v>
      </c>
      <c r="E14" s="13" t="s">
        <v>21</v>
      </c>
      <c r="F14" t="s">
        <v>490</v>
      </c>
    </row>
    <row r="15" spans="1:6">
      <c r="B15" t="s">
        <v>491</v>
      </c>
      <c r="D15">
        <v>800</v>
      </c>
      <c r="E15" s="13" t="s">
        <v>492</v>
      </c>
      <c r="F15" t="s">
        <v>493</v>
      </c>
    </row>
    <row r="16" spans="1:6">
      <c r="B16" t="s">
        <v>494</v>
      </c>
      <c r="D16">
        <v>0.2</v>
      </c>
      <c r="E16" s="13" t="s">
        <v>21</v>
      </c>
      <c r="F16" t="s">
        <v>495</v>
      </c>
    </row>
    <row r="17" spans="2:6">
      <c r="B17" t="s">
        <v>496</v>
      </c>
      <c r="D17">
        <f>D14*2/3</f>
        <v>2.1333333333333333</v>
      </c>
      <c r="E17" s="13" t="s">
        <v>21</v>
      </c>
      <c r="F17" t="s">
        <v>497</v>
      </c>
    </row>
    <row r="18" spans="2:6">
      <c r="B18" t="s">
        <v>498</v>
      </c>
      <c r="D18">
        <f>D14/3</f>
        <v>1.0666666666666667</v>
      </c>
      <c r="E18" s="13" t="s">
        <v>21</v>
      </c>
      <c r="F18" t="s">
        <v>499</v>
      </c>
    </row>
    <row r="19" spans="2:6">
      <c r="B19" t="s">
        <v>500</v>
      </c>
      <c r="D19">
        <v>0.5</v>
      </c>
      <c r="E19" s="13" t="s">
        <v>21</v>
      </c>
      <c r="F19" t="s">
        <v>501</v>
      </c>
    </row>
    <row r="20" spans="2:6">
      <c r="B20" t="s">
        <v>502</v>
      </c>
      <c r="D20">
        <f>D14*2/3</f>
        <v>2.1333333333333333</v>
      </c>
      <c r="E20" t="s">
        <v>21</v>
      </c>
      <c r="F20" t="s">
        <v>503</v>
      </c>
    </row>
    <row r="21" spans="2:6">
      <c r="B21" t="s">
        <v>504</v>
      </c>
      <c r="D21">
        <v>0.75</v>
      </c>
      <c r="E21" t="s">
        <v>21</v>
      </c>
    </row>
    <row r="22" spans="2:6">
      <c r="B22" t="s">
        <v>505</v>
      </c>
      <c r="D22">
        <f>D14+D16+D20</f>
        <v>5.5333333333333332</v>
      </c>
      <c r="E22" t="s">
        <v>21</v>
      </c>
      <c r="F22" t="s">
        <v>506</v>
      </c>
    </row>
    <row r="23" spans="2:6">
      <c r="B23" t="s">
        <v>507</v>
      </c>
      <c r="D23">
        <f>D22</f>
        <v>5.5333333333333332</v>
      </c>
      <c r="E23" t="s">
        <v>21</v>
      </c>
      <c r="F23" t="s">
        <v>508</v>
      </c>
    </row>
    <row r="24" spans="2:6">
      <c r="B24" t="s">
        <v>509</v>
      </c>
      <c r="D24">
        <v>150</v>
      </c>
      <c r="E24" t="s">
        <v>263</v>
      </c>
    </row>
    <row r="25" spans="2:6">
      <c r="B25" t="s">
        <v>510</v>
      </c>
      <c r="D25">
        <v>4</v>
      </c>
      <c r="E25" t="s">
        <v>21</v>
      </c>
    </row>
    <row r="26" spans="2:6">
      <c r="B26" t="s">
        <v>511</v>
      </c>
      <c r="D26">
        <v>508</v>
      </c>
      <c r="E26" t="s">
        <v>512</v>
      </c>
    </row>
    <row r="27" spans="2:6">
      <c r="B27" t="s">
        <v>513</v>
      </c>
      <c r="D27">
        <v>20</v>
      </c>
      <c r="E27" t="s">
        <v>512</v>
      </c>
    </row>
    <row r="28" spans="2:6">
      <c r="B28" t="s">
        <v>514</v>
      </c>
      <c r="D28">
        <f>0.25*PI()*(D26^2-(D26-2*D27)^2)*7850*10^-6</f>
        <v>240.69626274743558</v>
      </c>
      <c r="E28" t="s">
        <v>515</v>
      </c>
    </row>
    <row r="29" spans="2:6">
      <c r="B29" t="s">
        <v>516</v>
      </c>
      <c r="D29">
        <f>D5/3</f>
        <v>26.666666666666668</v>
      </c>
      <c r="E29" t="s">
        <v>21</v>
      </c>
      <c r="F29" t="s">
        <v>517</v>
      </c>
    </row>
    <row r="30" spans="2:6">
      <c r="B30" t="s">
        <v>518</v>
      </c>
      <c r="D30">
        <v>1.75</v>
      </c>
      <c r="E30" t="s">
        <v>21</v>
      </c>
    </row>
    <row r="31" spans="2:6">
      <c r="B31" t="s">
        <v>519</v>
      </c>
      <c r="D31">
        <v>1</v>
      </c>
      <c r="E31" t="s">
        <v>21</v>
      </c>
    </row>
    <row r="32" spans="2:6">
      <c r="B32" t="s">
        <v>520</v>
      </c>
      <c r="D32">
        <v>0.5</v>
      </c>
      <c r="E32" s="13" t="s">
        <v>21</v>
      </c>
    </row>
    <row r="33" spans="1:6">
      <c r="B33" t="s">
        <v>15</v>
      </c>
      <c r="D33">
        <v>3.5</v>
      </c>
      <c r="E33" s="13" t="s">
        <v>21</v>
      </c>
      <c r="F33" t="s">
        <v>130</v>
      </c>
    </row>
    <row r="34" spans="1:6">
      <c r="B34" t="s">
        <v>521</v>
      </c>
      <c r="D34">
        <v>0.5</v>
      </c>
      <c r="E34" s="13" t="s">
        <v>21</v>
      </c>
    </row>
    <row r="35" spans="1:6">
      <c r="B35" t="s">
        <v>222</v>
      </c>
      <c r="D35">
        <v>0.05</v>
      </c>
      <c r="E35" t="s">
        <v>21</v>
      </c>
    </row>
    <row r="36" spans="1:6">
      <c r="B36" t="s">
        <v>18</v>
      </c>
      <c r="D36">
        <v>7.0000000000000007E-2</v>
      </c>
      <c r="E36" t="s">
        <v>21</v>
      </c>
    </row>
    <row r="37" spans="1:6">
      <c r="B37" t="s">
        <v>562</v>
      </c>
      <c r="D37">
        <v>0.75</v>
      </c>
      <c r="E37" s="13" t="s">
        <v>21</v>
      </c>
    </row>
    <row r="38" spans="1:6">
      <c r="B38" t="s">
        <v>563</v>
      </c>
      <c r="D38">
        <v>0.05</v>
      </c>
      <c r="E38" s="13" t="s">
        <v>21</v>
      </c>
    </row>
    <row r="39" spans="1:6">
      <c r="B39" t="s">
        <v>564</v>
      </c>
      <c r="D39">
        <v>2.5</v>
      </c>
      <c r="E39" s="13" t="s">
        <v>364</v>
      </c>
    </row>
    <row r="40" spans="1:6">
      <c r="B40" t="s">
        <v>14</v>
      </c>
      <c r="D40">
        <v>25</v>
      </c>
      <c r="E40" t="s">
        <v>22</v>
      </c>
    </row>
    <row r="41" spans="1:6">
      <c r="B41" t="s">
        <v>612</v>
      </c>
      <c r="D41">
        <v>50</v>
      </c>
      <c r="E41" t="s">
        <v>21</v>
      </c>
    </row>
    <row r="43" spans="1:6">
      <c r="A43" s="2" t="s">
        <v>136</v>
      </c>
    </row>
    <row r="44" spans="1:6">
      <c r="B44" t="s">
        <v>522</v>
      </c>
      <c r="D44">
        <f>(D9^2+(D9*D10)^2)^0.5</f>
        <v>33.541019662496844</v>
      </c>
      <c r="E44" t="s">
        <v>21</v>
      </c>
    </row>
    <row r="45" spans="1:6">
      <c r="B45" t="s">
        <v>144</v>
      </c>
      <c r="D45">
        <f>D4*D3*D33+D3*2*D34</f>
        <v>16</v>
      </c>
      <c r="E45" t="s">
        <v>21</v>
      </c>
    </row>
    <row r="46" spans="1:6">
      <c r="B46" t="s">
        <v>523</v>
      </c>
      <c r="D46">
        <f>D45+D3*(D31+D32)</f>
        <v>19</v>
      </c>
      <c r="E46" t="s">
        <v>21</v>
      </c>
    </row>
    <row r="47" spans="1:6">
      <c r="B47" t="s">
        <v>524</v>
      </c>
      <c r="D47">
        <f>ROUNDUP((D17+D18+D19)/D30,0)+1</f>
        <v>4</v>
      </c>
      <c r="E47" t="s">
        <v>487</v>
      </c>
    </row>
    <row r="48" spans="1:6">
      <c r="B48" t="s">
        <v>525</v>
      </c>
      <c r="D48">
        <f>ROUNDUP(D46/D30,0)+1</f>
        <v>12</v>
      </c>
      <c r="E48" t="s">
        <v>487</v>
      </c>
    </row>
    <row r="49" spans="1:8">
      <c r="B49" t="s">
        <v>526</v>
      </c>
      <c r="D49">
        <f>ROUNDUP(D23/D30,0)+1</f>
        <v>5</v>
      </c>
      <c r="E49" t="s">
        <v>487</v>
      </c>
    </row>
    <row r="50" spans="1:8">
      <c r="B50" t="s">
        <v>527</v>
      </c>
      <c r="D50">
        <f>(D14+D16)*D18</f>
        <v>3.6266666666666669</v>
      </c>
      <c r="E50" t="s">
        <v>49</v>
      </c>
    </row>
    <row r="51" spans="1:8">
      <c r="B51" t="s">
        <v>528</v>
      </c>
      <c r="D51">
        <f>(D17+D18+D19)*D20</f>
        <v>7.8933333333333335</v>
      </c>
      <c r="E51" t="s">
        <v>49</v>
      </c>
    </row>
    <row r="52" spans="1:8">
      <c r="B52" t="s">
        <v>529</v>
      </c>
      <c r="D52">
        <f>D22*D21</f>
        <v>4.1500000000000004</v>
      </c>
      <c r="E52" t="s">
        <v>49</v>
      </c>
    </row>
    <row r="54" spans="1:8">
      <c r="A54" s="2" t="s">
        <v>26</v>
      </c>
    </row>
    <row r="55" spans="1:8" ht="15.75" thickBot="1">
      <c r="B55" s="1" t="s">
        <v>1</v>
      </c>
      <c r="C55" s="1" t="s">
        <v>2</v>
      </c>
      <c r="D55" s="1" t="s">
        <v>3</v>
      </c>
      <c r="E55" s="1" t="s">
        <v>616</v>
      </c>
      <c r="F55" s="1" t="s">
        <v>4</v>
      </c>
      <c r="G55" s="1" t="s">
        <v>643</v>
      </c>
      <c r="H55" s="1" t="s">
        <v>3</v>
      </c>
    </row>
    <row r="56" spans="1:8">
      <c r="A56" t="s">
        <v>530</v>
      </c>
      <c r="B56" t="s">
        <v>531</v>
      </c>
      <c r="C56" s="15">
        <f>(D47*D48*D11+D49*D12)*D29*D28*10^-3</f>
        <v>744.55377276540082</v>
      </c>
      <c r="D56" t="s">
        <v>159</v>
      </c>
      <c r="E56" t="s">
        <v>673</v>
      </c>
      <c r="F56" t="s">
        <v>681</v>
      </c>
      <c r="G56" s="15">
        <f>(D47*D48*D11+D49*D12)*D29</f>
        <v>3093.3333333333335</v>
      </c>
      <c r="H56" t="s">
        <v>21</v>
      </c>
    </row>
    <row r="57" spans="1:8">
      <c r="A57" t="s">
        <v>532</v>
      </c>
      <c r="B57" t="s">
        <v>533</v>
      </c>
      <c r="C57" s="15">
        <f>(D50++D51)*D11*D46</f>
        <v>437.76</v>
      </c>
      <c r="D57" t="s">
        <v>48</v>
      </c>
      <c r="E57" t="s">
        <v>617</v>
      </c>
      <c r="G57" s="15">
        <f>C57</f>
        <v>437.76</v>
      </c>
      <c r="H57" t="s">
        <v>48</v>
      </c>
    </row>
    <row r="58" spans="1:8">
      <c r="B58" t="s">
        <v>534</v>
      </c>
      <c r="C58" s="15">
        <f>D52*D23*D12</f>
        <v>91.853333333333339</v>
      </c>
      <c r="D58" t="s">
        <v>48</v>
      </c>
      <c r="E58" t="s">
        <v>617</v>
      </c>
      <c r="G58" s="15">
        <f>C58</f>
        <v>91.853333333333339</v>
      </c>
      <c r="H58" t="s">
        <v>48</v>
      </c>
    </row>
    <row r="59" spans="1:8">
      <c r="B59" t="s">
        <v>535</v>
      </c>
      <c r="C59" s="15">
        <f>(C57+C58)*D24/1000</f>
        <v>79.441999999999993</v>
      </c>
      <c r="D59" t="s">
        <v>159</v>
      </c>
      <c r="E59" s="13" t="s">
        <v>620</v>
      </c>
      <c r="F59" s="13"/>
      <c r="G59" s="15">
        <f>C59*1000</f>
        <v>79442</v>
      </c>
      <c r="H59" t="s">
        <v>644</v>
      </c>
    </row>
    <row r="60" spans="1:8">
      <c r="B60" t="s">
        <v>536</v>
      </c>
      <c r="C60">
        <f>D45*D25*D11*0.25</f>
        <v>32</v>
      </c>
      <c r="D60" t="s">
        <v>48</v>
      </c>
      <c r="E60" s="13" t="s">
        <v>617</v>
      </c>
      <c r="F60" t="s">
        <v>561</v>
      </c>
      <c r="G60" s="15">
        <f>C60</f>
        <v>32</v>
      </c>
      <c r="H60" t="s">
        <v>48</v>
      </c>
    </row>
    <row r="61" spans="1:8">
      <c r="B61" t="s">
        <v>537</v>
      </c>
      <c r="C61" s="14">
        <f>D44*D46*D11</f>
        <v>1274.55874717488</v>
      </c>
      <c r="D61" s="4" t="s">
        <v>49</v>
      </c>
      <c r="E61" s="13" t="s">
        <v>634</v>
      </c>
      <c r="G61" s="15">
        <f>C61</f>
        <v>1274.55874717488</v>
      </c>
      <c r="H61" t="s">
        <v>49</v>
      </c>
    </row>
    <row r="62" spans="1:8">
      <c r="A62" t="s">
        <v>39</v>
      </c>
      <c r="B62" t="s">
        <v>538</v>
      </c>
      <c r="C62">
        <f>D5*D46*D15*10^-3</f>
        <v>1216</v>
      </c>
      <c r="D62" s="4" t="s">
        <v>159</v>
      </c>
      <c r="E62" s="13" t="s">
        <v>683</v>
      </c>
      <c r="F62" s="13" t="s">
        <v>684</v>
      </c>
      <c r="G62" s="30">
        <f>C62*1000/125</f>
        <v>9728</v>
      </c>
      <c r="H62" s="13" t="s">
        <v>644</v>
      </c>
    </row>
    <row r="63" spans="1:8">
      <c r="A63" t="s">
        <v>40</v>
      </c>
      <c r="B63" t="s">
        <v>539</v>
      </c>
      <c r="C63">
        <f>D45*D5*D35</f>
        <v>64</v>
      </c>
      <c r="D63" t="s">
        <v>48</v>
      </c>
      <c r="E63" s="13" t="s">
        <v>635</v>
      </c>
      <c r="F63" s="13"/>
      <c r="G63" s="13">
        <f>C63*2.5*1000</f>
        <v>160000</v>
      </c>
      <c r="H63" s="13" t="s">
        <v>644</v>
      </c>
    </row>
    <row r="64" spans="1:8">
      <c r="B64" t="s">
        <v>566</v>
      </c>
      <c r="C64">
        <f>D45*D5*D36</f>
        <v>89.600000000000009</v>
      </c>
      <c r="D64" t="s">
        <v>48</v>
      </c>
      <c r="E64" s="13" t="s">
        <v>638</v>
      </c>
      <c r="F64" s="13"/>
      <c r="G64" s="13">
        <f>C64*2.5*1000</f>
        <v>224000.00000000003</v>
      </c>
      <c r="H64" s="13" t="s">
        <v>644</v>
      </c>
    </row>
    <row r="65" spans="1:8">
      <c r="B65" t="s">
        <v>601</v>
      </c>
      <c r="C65" s="15">
        <f>D45*D5*2</f>
        <v>2560</v>
      </c>
      <c r="D65" t="s">
        <v>49</v>
      </c>
      <c r="E65" s="13" t="s">
        <v>668</v>
      </c>
      <c r="F65" s="4" t="s">
        <v>603</v>
      </c>
      <c r="G65" s="30">
        <f>C65</f>
        <v>2560</v>
      </c>
      <c r="H65" s="13" t="s">
        <v>49</v>
      </c>
    </row>
    <row r="66" spans="1:8">
      <c r="B66" t="s">
        <v>540</v>
      </c>
      <c r="C66">
        <f>(D3*2*D5)*(D37*D38*D39)</f>
        <v>30.000000000000004</v>
      </c>
      <c r="D66" t="s">
        <v>159</v>
      </c>
      <c r="E66" s="13" t="s">
        <v>671</v>
      </c>
      <c r="F66" s="13" t="s">
        <v>682</v>
      </c>
      <c r="G66" s="13">
        <f>C66*1000</f>
        <v>30000.000000000004</v>
      </c>
      <c r="H66" s="13" t="s">
        <v>644</v>
      </c>
    </row>
    <row r="67" spans="1:8">
      <c r="A67" t="s">
        <v>541</v>
      </c>
      <c r="B67" t="s">
        <v>542</v>
      </c>
      <c r="C67">
        <f>D5</f>
        <v>80</v>
      </c>
      <c r="D67" t="s">
        <v>21</v>
      </c>
      <c r="E67" t="s">
        <v>696</v>
      </c>
      <c r="G67">
        <f>C67</f>
        <v>80</v>
      </c>
      <c r="H67" t="s">
        <v>21</v>
      </c>
    </row>
    <row r="68" spans="1:8">
      <c r="A68" t="s">
        <v>543</v>
      </c>
      <c r="B68" t="s">
        <v>544</v>
      </c>
      <c r="C68" s="15">
        <f>D5*2+D23*D12</f>
        <v>182.13333333333333</v>
      </c>
      <c r="D68" t="s">
        <v>21</v>
      </c>
      <c r="E68" t="s">
        <v>696</v>
      </c>
      <c r="G68" s="15">
        <f>C68</f>
        <v>182.13333333333333</v>
      </c>
      <c r="H68" t="s">
        <v>21</v>
      </c>
    </row>
    <row r="69" spans="1:8">
      <c r="A69" t="s">
        <v>36</v>
      </c>
      <c r="B69" t="s">
        <v>545</v>
      </c>
      <c r="C69">
        <f>(D4)*D3*D5/1000</f>
        <v>0.32</v>
      </c>
      <c r="D69" t="s">
        <v>10</v>
      </c>
      <c r="E69" t="s">
        <v>621</v>
      </c>
      <c r="G69">
        <f>C69*1000</f>
        <v>320</v>
      </c>
      <c r="H69" t="s">
        <v>21</v>
      </c>
    </row>
    <row r="70" spans="1:8">
      <c r="B70" t="s">
        <v>54</v>
      </c>
      <c r="C70">
        <f>(D4-1)*D3*(D40/100)*D5/1000</f>
        <v>0.04</v>
      </c>
      <c r="D70" t="s">
        <v>10</v>
      </c>
      <c r="E70" t="s">
        <v>621</v>
      </c>
      <c r="G70">
        <f>C70*1000</f>
        <v>40</v>
      </c>
      <c r="H70" t="s">
        <v>21</v>
      </c>
    </row>
    <row r="71" spans="1:8">
      <c r="A71" t="s">
        <v>610</v>
      </c>
      <c r="B71" t="s">
        <v>610</v>
      </c>
      <c r="C71">
        <f>ROUNDUP(D5/$D$41,0)*2</f>
        <v>4</v>
      </c>
      <c r="D71" t="s">
        <v>393</v>
      </c>
      <c r="E71" t="s">
        <v>624</v>
      </c>
      <c r="F71" t="s">
        <v>701</v>
      </c>
      <c r="G71">
        <f>C71</f>
        <v>4</v>
      </c>
      <c r="H71" t="s">
        <v>393</v>
      </c>
    </row>
    <row r="73" spans="1:8">
      <c r="A73" s="89"/>
    </row>
    <row r="74" spans="1:8">
      <c r="A74" s="87"/>
    </row>
  </sheetData>
  <pageMargins left="0.7" right="0.7" top="0.75" bottom="0.75" header="0.3" footer="0.3"/>
  <pageSetup paperSize="9" orientation="portrait" horizontalDpi="300" verticalDpi="3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5"/>
  </sheetPr>
  <dimension ref="A1:H75"/>
  <sheetViews>
    <sheetView topLeftCell="A25" zoomScale="70" zoomScaleNormal="70" workbookViewId="0">
      <selection activeCell="E43" sqref="E43"/>
    </sheetView>
  </sheetViews>
  <sheetFormatPr defaultRowHeight="15"/>
  <cols>
    <col min="1" max="1" width="20.28515625" bestFit="1" customWidth="1"/>
    <col min="2" max="2" width="52.85546875" bestFit="1" customWidth="1"/>
    <col min="3" max="3" width="9.140625" bestFit="1" customWidth="1"/>
    <col min="4" max="4" width="14.85546875" bestFit="1" customWidth="1"/>
    <col min="5" max="5" width="57.85546875" bestFit="1" customWidth="1"/>
    <col min="6" max="6" width="65.28515625" bestFit="1" customWidth="1"/>
    <col min="7" max="7" width="15.85546875" bestFit="1" customWidth="1"/>
    <col min="8" max="8" width="11" bestFit="1" customWidth="1"/>
    <col min="9" max="9" width="12.140625" bestFit="1" customWidth="1"/>
  </cols>
  <sheetData>
    <row r="1" spans="1:6">
      <c r="A1" s="2" t="s">
        <v>0</v>
      </c>
    </row>
    <row r="2" spans="1:6" ht="15.75" thickBot="1">
      <c r="B2" s="1" t="s">
        <v>1</v>
      </c>
      <c r="C2" s="1"/>
      <c r="D2" s="1" t="s">
        <v>2</v>
      </c>
      <c r="E2" s="1" t="s">
        <v>3</v>
      </c>
      <c r="F2" s="1" t="s">
        <v>4</v>
      </c>
    </row>
    <row r="3" spans="1:6">
      <c r="B3" t="s">
        <v>6</v>
      </c>
      <c r="D3">
        <v>2</v>
      </c>
      <c r="E3" t="s">
        <v>5</v>
      </c>
      <c r="F3" t="s">
        <v>12</v>
      </c>
    </row>
    <row r="4" spans="1:6">
      <c r="B4" t="s">
        <v>400</v>
      </c>
      <c r="D4">
        <v>3</v>
      </c>
      <c r="E4" t="s">
        <v>5</v>
      </c>
      <c r="F4" t="s">
        <v>12</v>
      </c>
    </row>
    <row r="5" spans="1:6">
      <c r="B5" t="s">
        <v>389</v>
      </c>
      <c r="D5">
        <v>80</v>
      </c>
      <c r="E5" t="s">
        <v>21</v>
      </c>
    </row>
    <row r="7" spans="1:6">
      <c r="A7" s="2" t="s">
        <v>11</v>
      </c>
    </row>
    <row r="8" spans="1:6" ht="15.75" thickBot="1">
      <c r="B8" s="1" t="s">
        <v>1</v>
      </c>
      <c r="C8" s="1"/>
      <c r="D8" s="1" t="s">
        <v>2</v>
      </c>
      <c r="E8" s="1" t="s">
        <v>3</v>
      </c>
      <c r="F8" s="1" t="s">
        <v>4</v>
      </c>
    </row>
    <row r="9" spans="1:6">
      <c r="B9" t="s">
        <v>483</v>
      </c>
      <c r="D9">
        <v>15</v>
      </c>
      <c r="E9" t="s">
        <v>102</v>
      </c>
    </row>
    <row r="10" spans="1:6">
      <c r="B10" t="s">
        <v>484</v>
      </c>
      <c r="D10">
        <v>2</v>
      </c>
      <c r="E10" t="s">
        <v>485</v>
      </c>
    </row>
    <row r="11" spans="1:6">
      <c r="B11" t="s">
        <v>486</v>
      </c>
      <c r="D11">
        <v>2</v>
      </c>
      <c r="E11" t="s">
        <v>487</v>
      </c>
    </row>
    <row r="12" spans="1:6">
      <c r="B12" t="s">
        <v>488</v>
      </c>
      <c r="D12">
        <v>4</v>
      </c>
      <c r="E12" t="s">
        <v>487</v>
      </c>
    </row>
    <row r="13" spans="1:6">
      <c r="B13" t="s">
        <v>25</v>
      </c>
      <c r="D13">
        <v>0</v>
      </c>
      <c r="E13" t="s">
        <v>487</v>
      </c>
    </row>
    <row r="14" spans="1:6">
      <c r="B14" t="s">
        <v>489</v>
      </c>
      <c r="D14">
        <f>ROUNDUP(D5/25,1)</f>
        <v>3.2</v>
      </c>
      <c r="E14" s="13" t="s">
        <v>21</v>
      </c>
      <c r="F14" t="s">
        <v>490</v>
      </c>
    </row>
    <row r="15" spans="1:6">
      <c r="B15" t="s">
        <v>491</v>
      </c>
      <c r="D15">
        <v>800</v>
      </c>
      <c r="E15" s="13" t="s">
        <v>492</v>
      </c>
      <c r="F15" t="s">
        <v>493</v>
      </c>
    </row>
    <row r="16" spans="1:6">
      <c r="B16" t="s">
        <v>494</v>
      </c>
      <c r="D16">
        <v>0.2</v>
      </c>
      <c r="E16" s="13" t="s">
        <v>21</v>
      </c>
      <c r="F16" t="s">
        <v>495</v>
      </c>
    </row>
    <row r="17" spans="2:6">
      <c r="B17" t="s">
        <v>496</v>
      </c>
      <c r="D17">
        <f>D14*2/3</f>
        <v>2.1333333333333333</v>
      </c>
      <c r="E17" s="13" t="s">
        <v>21</v>
      </c>
      <c r="F17" t="s">
        <v>497</v>
      </c>
    </row>
    <row r="18" spans="2:6">
      <c r="B18" t="s">
        <v>498</v>
      </c>
      <c r="D18">
        <f>D14/3</f>
        <v>1.0666666666666667</v>
      </c>
      <c r="E18" s="13" t="s">
        <v>21</v>
      </c>
      <c r="F18" t="s">
        <v>499</v>
      </c>
    </row>
    <row r="19" spans="2:6">
      <c r="B19" t="s">
        <v>500</v>
      </c>
      <c r="D19">
        <v>0.5</v>
      </c>
      <c r="E19" s="13" t="s">
        <v>21</v>
      </c>
      <c r="F19" t="s">
        <v>501</v>
      </c>
    </row>
    <row r="20" spans="2:6">
      <c r="B20" t="s">
        <v>502</v>
      </c>
      <c r="D20">
        <f>D14*2/3</f>
        <v>2.1333333333333333</v>
      </c>
      <c r="E20" t="s">
        <v>21</v>
      </c>
      <c r="F20" t="s">
        <v>503</v>
      </c>
    </row>
    <row r="21" spans="2:6">
      <c r="B21" t="s">
        <v>504</v>
      </c>
      <c r="D21">
        <v>0.75</v>
      </c>
      <c r="E21" t="s">
        <v>21</v>
      </c>
    </row>
    <row r="22" spans="2:6">
      <c r="B22" t="s">
        <v>505</v>
      </c>
      <c r="D22">
        <f>D14+D16+D20</f>
        <v>5.5333333333333332</v>
      </c>
      <c r="E22" t="s">
        <v>21</v>
      </c>
      <c r="F22" t="s">
        <v>506</v>
      </c>
    </row>
    <row r="23" spans="2:6">
      <c r="B23" t="s">
        <v>507</v>
      </c>
      <c r="D23">
        <f>D22</f>
        <v>5.5333333333333332</v>
      </c>
      <c r="E23" t="s">
        <v>21</v>
      </c>
      <c r="F23" t="s">
        <v>508</v>
      </c>
    </row>
    <row r="24" spans="2:6">
      <c r="B24" t="s">
        <v>509</v>
      </c>
      <c r="D24">
        <v>150</v>
      </c>
      <c r="E24" t="s">
        <v>263</v>
      </c>
    </row>
    <row r="25" spans="2:6">
      <c r="B25" t="s">
        <v>510</v>
      </c>
      <c r="D25">
        <v>4</v>
      </c>
      <c r="E25" t="s">
        <v>21</v>
      </c>
    </row>
    <row r="26" spans="2:6">
      <c r="B26" t="s">
        <v>511</v>
      </c>
      <c r="D26">
        <v>508</v>
      </c>
      <c r="E26" t="s">
        <v>512</v>
      </c>
    </row>
    <row r="27" spans="2:6">
      <c r="B27" t="s">
        <v>513</v>
      </c>
      <c r="D27">
        <v>20</v>
      </c>
      <c r="E27" t="s">
        <v>512</v>
      </c>
    </row>
    <row r="28" spans="2:6">
      <c r="B28" t="s">
        <v>514</v>
      </c>
      <c r="D28">
        <f>0.25*PI()*(D26^2-(D26-2*D27)^2)*7850*10^-6</f>
        <v>240.69626274743558</v>
      </c>
      <c r="E28" t="s">
        <v>515</v>
      </c>
    </row>
    <row r="29" spans="2:6">
      <c r="B29" t="s">
        <v>516</v>
      </c>
      <c r="D29">
        <f>D5/3</f>
        <v>26.666666666666668</v>
      </c>
      <c r="E29" t="s">
        <v>21</v>
      </c>
      <c r="F29" t="s">
        <v>517</v>
      </c>
    </row>
    <row r="30" spans="2:6">
      <c r="B30" t="s">
        <v>518</v>
      </c>
      <c r="D30">
        <v>1.75</v>
      </c>
      <c r="E30" t="s">
        <v>21</v>
      </c>
    </row>
    <row r="31" spans="2:6">
      <c r="B31" t="s">
        <v>519</v>
      </c>
      <c r="D31">
        <v>1</v>
      </c>
      <c r="E31" t="s">
        <v>21</v>
      </c>
    </row>
    <row r="32" spans="2:6">
      <c r="B32" t="s">
        <v>520</v>
      </c>
      <c r="D32">
        <v>0.5</v>
      </c>
      <c r="E32" s="13" t="s">
        <v>21</v>
      </c>
    </row>
    <row r="33" spans="1:6">
      <c r="B33" t="s">
        <v>15</v>
      </c>
      <c r="D33">
        <v>3.5</v>
      </c>
      <c r="E33" s="13" t="s">
        <v>21</v>
      </c>
      <c r="F33" t="s">
        <v>130</v>
      </c>
    </row>
    <row r="34" spans="1:6">
      <c r="B34" t="s">
        <v>521</v>
      </c>
      <c r="D34">
        <v>0.5</v>
      </c>
      <c r="E34" s="13" t="s">
        <v>21</v>
      </c>
    </row>
    <row r="35" spans="1:6">
      <c r="B35" t="s">
        <v>222</v>
      </c>
      <c r="D35">
        <v>0.05</v>
      </c>
      <c r="E35" t="s">
        <v>21</v>
      </c>
    </row>
    <row r="36" spans="1:6">
      <c r="B36" t="s">
        <v>18</v>
      </c>
      <c r="D36">
        <v>7.0000000000000007E-2</v>
      </c>
      <c r="E36" t="s">
        <v>21</v>
      </c>
    </row>
    <row r="37" spans="1:6">
      <c r="B37" t="s">
        <v>562</v>
      </c>
      <c r="D37">
        <v>0.75</v>
      </c>
      <c r="E37" s="13" t="s">
        <v>21</v>
      </c>
    </row>
    <row r="38" spans="1:6">
      <c r="B38" t="s">
        <v>563</v>
      </c>
      <c r="D38">
        <v>0.05</v>
      </c>
      <c r="E38" s="13" t="s">
        <v>21</v>
      </c>
    </row>
    <row r="39" spans="1:6">
      <c r="B39" t="s">
        <v>564</v>
      </c>
      <c r="D39">
        <v>2.5</v>
      </c>
      <c r="E39" s="13" t="s">
        <v>364</v>
      </c>
    </row>
    <row r="40" spans="1:6">
      <c r="B40" t="s">
        <v>14</v>
      </c>
      <c r="D40">
        <v>25</v>
      </c>
      <c r="E40" t="s">
        <v>22</v>
      </c>
    </row>
    <row r="41" spans="1:6">
      <c r="B41" t="s">
        <v>612</v>
      </c>
      <c r="D41">
        <v>50</v>
      </c>
      <c r="E41" t="s">
        <v>21</v>
      </c>
    </row>
    <row r="43" spans="1:6">
      <c r="A43" s="2" t="s">
        <v>136</v>
      </c>
    </row>
    <row r="44" spans="1:6">
      <c r="B44" t="s">
        <v>522</v>
      </c>
      <c r="D44">
        <f>(D9^2+(D9*D10)^2)^0.5</f>
        <v>33.541019662496844</v>
      </c>
      <c r="E44" t="s">
        <v>21</v>
      </c>
    </row>
    <row r="45" spans="1:6">
      <c r="B45" t="s">
        <v>144</v>
      </c>
      <c r="D45">
        <f>D4*D3*D33+D3*2*D34</f>
        <v>23</v>
      </c>
      <c r="E45" t="s">
        <v>21</v>
      </c>
    </row>
    <row r="46" spans="1:6">
      <c r="B46" t="s">
        <v>523</v>
      </c>
      <c r="D46">
        <f>D45+D3*D31+D32</f>
        <v>25.5</v>
      </c>
      <c r="E46" t="s">
        <v>21</v>
      </c>
    </row>
    <row r="47" spans="1:6">
      <c r="B47" t="s">
        <v>524</v>
      </c>
      <c r="D47">
        <f>ROUNDUP((D17+D18+D19)/D30,0)+1</f>
        <v>4</v>
      </c>
      <c r="E47" t="s">
        <v>487</v>
      </c>
    </row>
    <row r="48" spans="1:6">
      <c r="B48" t="s">
        <v>525</v>
      </c>
      <c r="D48">
        <f>ROUNDUP(D46/D30,0)+1</f>
        <v>16</v>
      </c>
      <c r="E48" t="s">
        <v>487</v>
      </c>
    </row>
    <row r="49" spans="1:8">
      <c r="B49" t="s">
        <v>526</v>
      </c>
      <c r="D49">
        <f>ROUNDUP(D23/D30,0)+1</f>
        <v>5</v>
      </c>
      <c r="E49" t="s">
        <v>487</v>
      </c>
    </row>
    <row r="50" spans="1:8">
      <c r="B50" t="s">
        <v>527</v>
      </c>
      <c r="D50">
        <f>(D14+D16)*D18</f>
        <v>3.6266666666666669</v>
      </c>
      <c r="E50" t="s">
        <v>49</v>
      </c>
    </row>
    <row r="51" spans="1:8">
      <c r="B51" t="s">
        <v>528</v>
      </c>
      <c r="D51">
        <f>(D17+D18+D19)*D20</f>
        <v>7.8933333333333335</v>
      </c>
      <c r="E51" t="s">
        <v>49</v>
      </c>
    </row>
    <row r="52" spans="1:8">
      <c r="B52" t="s">
        <v>529</v>
      </c>
      <c r="D52">
        <f>D22*D21</f>
        <v>4.1500000000000004</v>
      </c>
      <c r="E52" t="s">
        <v>49</v>
      </c>
    </row>
    <row r="54" spans="1:8">
      <c r="A54" s="2" t="s">
        <v>26</v>
      </c>
    </row>
    <row r="55" spans="1:8" ht="15.75" thickBot="1">
      <c r="B55" s="1" t="s">
        <v>1</v>
      </c>
      <c r="C55" s="1" t="s">
        <v>2</v>
      </c>
      <c r="D55" s="1" t="s">
        <v>3</v>
      </c>
      <c r="E55" s="1" t="s">
        <v>616</v>
      </c>
      <c r="F55" s="1" t="s">
        <v>4</v>
      </c>
      <c r="G55" s="1" t="s">
        <v>643</v>
      </c>
      <c r="H55" s="1" t="s">
        <v>3</v>
      </c>
    </row>
    <row r="56" spans="1:8">
      <c r="A56" t="s">
        <v>530</v>
      </c>
      <c r="B56" t="s">
        <v>531</v>
      </c>
      <c r="C56" s="15">
        <f>(D47*D48*D11+D49*D12)*D29*D28*10^-3</f>
        <v>949.9479169765458</v>
      </c>
      <c r="D56" t="s">
        <v>159</v>
      </c>
      <c r="E56" t="s">
        <v>673</v>
      </c>
      <c r="F56" t="s">
        <v>672</v>
      </c>
      <c r="G56" s="15">
        <f>(D47*D48*D11+D49*D12)*D29</f>
        <v>3946.666666666667</v>
      </c>
      <c r="H56" t="s">
        <v>21</v>
      </c>
    </row>
    <row r="57" spans="1:8">
      <c r="A57" t="s">
        <v>532</v>
      </c>
      <c r="B57" t="s">
        <v>533</v>
      </c>
      <c r="C57" s="15">
        <f>(D50++D51)*D11*D46</f>
        <v>587.52</v>
      </c>
      <c r="D57" t="s">
        <v>48</v>
      </c>
      <c r="E57" t="s">
        <v>617</v>
      </c>
      <c r="G57" s="15">
        <f>C57</f>
        <v>587.52</v>
      </c>
      <c r="H57" t="s">
        <v>48</v>
      </c>
    </row>
    <row r="58" spans="1:8">
      <c r="B58" t="s">
        <v>534</v>
      </c>
      <c r="C58" s="15">
        <f>D52*D23*D12</f>
        <v>91.853333333333339</v>
      </c>
      <c r="D58" t="s">
        <v>48</v>
      </c>
      <c r="E58" t="s">
        <v>617</v>
      </c>
      <c r="G58" s="15">
        <f>C58</f>
        <v>91.853333333333339</v>
      </c>
      <c r="H58" t="s">
        <v>48</v>
      </c>
    </row>
    <row r="59" spans="1:8">
      <c r="B59" t="s">
        <v>535</v>
      </c>
      <c r="C59" s="15">
        <f>(C57+C58)*D24/1000</f>
        <v>101.90600000000001</v>
      </c>
      <c r="D59" t="s">
        <v>159</v>
      </c>
      <c r="E59" s="13" t="s">
        <v>620</v>
      </c>
      <c r="F59" s="13"/>
      <c r="G59" s="15">
        <f>C59*1000</f>
        <v>101906</v>
      </c>
      <c r="H59" t="s">
        <v>644</v>
      </c>
    </row>
    <row r="60" spans="1:8">
      <c r="B60" t="s">
        <v>536</v>
      </c>
      <c r="C60">
        <f>D45*D25*D11*0.25</f>
        <v>46</v>
      </c>
      <c r="D60" t="s">
        <v>48</v>
      </c>
      <c r="E60" t="s">
        <v>617</v>
      </c>
      <c r="F60" t="s">
        <v>561</v>
      </c>
      <c r="G60" s="15">
        <f>C60</f>
        <v>46</v>
      </c>
      <c r="H60" t="s">
        <v>48</v>
      </c>
    </row>
    <row r="61" spans="1:8">
      <c r="B61" t="s">
        <v>537</v>
      </c>
      <c r="C61" s="14">
        <f>D44*D46*D11</f>
        <v>1710.592002787339</v>
      </c>
      <c r="D61" s="4" t="s">
        <v>49</v>
      </c>
      <c r="E61" t="s">
        <v>634</v>
      </c>
      <c r="G61" s="15">
        <f>C61</f>
        <v>1710.592002787339</v>
      </c>
      <c r="H61" t="s">
        <v>49</v>
      </c>
    </row>
    <row r="62" spans="1:8">
      <c r="A62" t="s">
        <v>39</v>
      </c>
      <c r="B62" t="s">
        <v>538</v>
      </c>
      <c r="C62">
        <f>D5*D46*D15*10^-3</f>
        <v>1632</v>
      </c>
      <c r="D62" s="4" t="s">
        <v>159</v>
      </c>
      <c r="E62" s="13" t="s">
        <v>683</v>
      </c>
      <c r="F62" s="13" t="s">
        <v>684</v>
      </c>
      <c r="G62" s="30">
        <f>C62*1000/125</f>
        <v>13056</v>
      </c>
      <c r="H62" t="s">
        <v>644</v>
      </c>
    </row>
    <row r="63" spans="1:8">
      <c r="A63" t="s">
        <v>40</v>
      </c>
      <c r="B63" t="s">
        <v>539</v>
      </c>
      <c r="C63">
        <f>D45*D5*D35</f>
        <v>92</v>
      </c>
      <c r="D63" t="s">
        <v>48</v>
      </c>
      <c r="E63" t="s">
        <v>635</v>
      </c>
      <c r="G63">
        <f>C63*2.5*1000</f>
        <v>230000</v>
      </c>
      <c r="H63" t="s">
        <v>644</v>
      </c>
    </row>
    <row r="64" spans="1:8">
      <c r="B64" t="s">
        <v>566</v>
      </c>
      <c r="C64">
        <f>D45*D5*D36</f>
        <v>128.80000000000001</v>
      </c>
      <c r="D64" t="s">
        <v>48</v>
      </c>
      <c r="E64" s="13" t="s">
        <v>638</v>
      </c>
      <c r="G64">
        <f>C64*2.5*1000</f>
        <v>322000</v>
      </c>
      <c r="H64" t="s">
        <v>644</v>
      </c>
    </row>
    <row r="65" spans="1:8">
      <c r="B65" t="s">
        <v>601</v>
      </c>
      <c r="C65" s="15">
        <f>D45*D5*2</f>
        <v>3680</v>
      </c>
      <c r="D65" t="s">
        <v>49</v>
      </c>
      <c r="E65" s="13" t="s">
        <v>668</v>
      </c>
      <c r="F65" s="4" t="s">
        <v>603</v>
      </c>
      <c r="G65" s="30">
        <f>C65</f>
        <v>3680</v>
      </c>
      <c r="H65" s="13" t="s">
        <v>49</v>
      </c>
    </row>
    <row r="66" spans="1:8">
      <c r="B66" t="s">
        <v>540</v>
      </c>
      <c r="C66">
        <f>(D3*2*D5)*(D37*D38*D39)</f>
        <v>30.000000000000004</v>
      </c>
      <c r="D66" t="s">
        <v>159</v>
      </c>
      <c r="E66" s="13" t="s">
        <v>671</v>
      </c>
      <c r="F66" s="13" t="s">
        <v>682</v>
      </c>
      <c r="G66" s="13">
        <f>C66*1000</f>
        <v>30000.000000000004</v>
      </c>
      <c r="H66" s="13" t="s">
        <v>644</v>
      </c>
    </row>
    <row r="67" spans="1:8">
      <c r="A67" t="s">
        <v>541</v>
      </c>
      <c r="B67" t="s">
        <v>542</v>
      </c>
      <c r="C67">
        <f>D5</f>
        <v>80</v>
      </c>
      <c r="D67" t="s">
        <v>21</v>
      </c>
      <c r="E67" s="13" t="s">
        <v>696</v>
      </c>
      <c r="F67" s="13"/>
      <c r="G67" s="13">
        <f>C67</f>
        <v>80</v>
      </c>
      <c r="H67" s="13" t="s">
        <v>21</v>
      </c>
    </row>
    <row r="68" spans="1:8">
      <c r="A68" t="s">
        <v>543</v>
      </c>
      <c r="B68" t="s">
        <v>544</v>
      </c>
      <c r="C68" s="15">
        <f>D5*2+D23*D12</f>
        <v>182.13333333333333</v>
      </c>
      <c r="D68" t="s">
        <v>21</v>
      </c>
      <c r="E68" t="s">
        <v>696</v>
      </c>
      <c r="G68" s="15">
        <f>C68</f>
        <v>182.13333333333333</v>
      </c>
      <c r="H68" t="s">
        <v>21</v>
      </c>
    </row>
    <row r="69" spans="1:8">
      <c r="A69" t="s">
        <v>36</v>
      </c>
      <c r="B69" t="s">
        <v>545</v>
      </c>
      <c r="C69">
        <f>2*D3*D5/1000</f>
        <v>0.32</v>
      </c>
      <c r="D69" t="s">
        <v>10</v>
      </c>
      <c r="E69" t="s">
        <v>621</v>
      </c>
      <c r="G69">
        <f>C69*1000</f>
        <v>320</v>
      </c>
      <c r="H69" t="s">
        <v>21</v>
      </c>
    </row>
    <row r="70" spans="1:8">
      <c r="B70" t="s">
        <v>54</v>
      </c>
      <c r="C70">
        <f>(D4-1)*D3*(D40/100)*D5/1000</f>
        <v>0.08</v>
      </c>
      <c r="D70" t="s">
        <v>10</v>
      </c>
      <c r="E70" t="s">
        <v>621</v>
      </c>
      <c r="G70">
        <f>C70*1000</f>
        <v>80</v>
      </c>
      <c r="H70" t="s">
        <v>21</v>
      </c>
    </row>
    <row r="71" spans="1:8">
      <c r="A71" t="s">
        <v>610</v>
      </c>
      <c r="B71" t="s">
        <v>610</v>
      </c>
      <c r="C71">
        <f>ROUNDUP(D5/$D$41,0)*2</f>
        <v>4</v>
      </c>
      <c r="D71" t="s">
        <v>393</v>
      </c>
      <c r="E71" t="s">
        <v>624</v>
      </c>
      <c r="F71" t="s">
        <v>701</v>
      </c>
      <c r="G71">
        <f>C71</f>
        <v>4</v>
      </c>
      <c r="H71" t="s">
        <v>393</v>
      </c>
    </row>
    <row r="73" spans="1:8">
      <c r="A73" s="89"/>
    </row>
    <row r="74" spans="1:8">
      <c r="A74" s="87"/>
    </row>
    <row r="75" spans="1:8">
      <c r="A75" s="87"/>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I77"/>
  <sheetViews>
    <sheetView topLeftCell="A25" zoomScale="70" zoomScaleNormal="70" workbookViewId="0"/>
  </sheetViews>
  <sheetFormatPr defaultRowHeight="15"/>
  <cols>
    <col min="1" max="1" width="28.85546875" customWidth="1"/>
    <col min="2" max="2" width="52.85546875" customWidth="1"/>
    <col min="3" max="3" width="15.42578125" customWidth="1"/>
    <col min="4" max="4" width="11" customWidth="1"/>
    <col min="5" max="5" width="31.42578125" customWidth="1"/>
    <col min="6" max="6" width="46.7109375" customWidth="1"/>
    <col min="7" max="7" width="24.42578125" customWidth="1"/>
    <col min="8" max="8" width="17.28515625" bestFit="1" customWidth="1"/>
    <col min="9" max="9" width="10.5703125" customWidth="1"/>
  </cols>
  <sheetData>
    <row r="1" spans="1:5">
      <c r="A1" s="2" t="s">
        <v>708</v>
      </c>
    </row>
    <row r="2" spans="1:5" ht="15.75" thickBot="1">
      <c r="B2" s="1" t="s">
        <v>1</v>
      </c>
      <c r="C2" s="1" t="s">
        <v>4</v>
      </c>
    </row>
    <row r="3" spans="1:5">
      <c r="B3" s="86" t="s">
        <v>709</v>
      </c>
      <c r="C3" s="86" t="s">
        <v>710</v>
      </c>
      <c r="D3" s="86"/>
    </row>
    <row r="4" spans="1:5">
      <c r="B4" s="86" t="s">
        <v>711</v>
      </c>
      <c r="C4" s="86" t="s">
        <v>712</v>
      </c>
      <c r="D4" s="86"/>
    </row>
    <row r="5" spans="1:5">
      <c r="B5" s="86" t="s">
        <v>713</v>
      </c>
      <c r="C5" s="86" t="s">
        <v>714</v>
      </c>
      <c r="D5" s="86"/>
    </row>
    <row r="7" spans="1:5">
      <c r="A7" s="2" t="s">
        <v>0</v>
      </c>
    </row>
    <row r="8" spans="1:5" ht="15.75" thickBot="1">
      <c r="B8" s="1" t="s">
        <v>1</v>
      </c>
      <c r="C8" s="1" t="s">
        <v>2</v>
      </c>
      <c r="D8" s="1" t="s">
        <v>3</v>
      </c>
      <c r="E8" s="1" t="s">
        <v>4</v>
      </c>
    </row>
    <row r="9" spans="1:5">
      <c r="B9" t="s">
        <v>715</v>
      </c>
      <c r="C9">
        <v>12</v>
      </c>
      <c r="D9" t="s">
        <v>21</v>
      </c>
    </row>
    <row r="11" spans="1:5">
      <c r="A11" s="2" t="s">
        <v>11</v>
      </c>
    </row>
    <row r="12" spans="1:5" ht="15.75" thickBot="1">
      <c r="B12" s="100" t="s">
        <v>1</v>
      </c>
      <c r="C12" s="100" t="s">
        <v>2</v>
      </c>
      <c r="D12" s="100" t="s">
        <v>3</v>
      </c>
      <c r="E12" s="1" t="s">
        <v>4</v>
      </c>
    </row>
    <row r="13" spans="1:5">
      <c r="B13" t="s">
        <v>716</v>
      </c>
      <c r="C13">
        <v>0</v>
      </c>
      <c r="D13" t="s">
        <v>21</v>
      </c>
    </row>
    <row r="14" spans="1:5">
      <c r="B14" t="s">
        <v>717</v>
      </c>
      <c r="C14">
        <v>0</v>
      </c>
      <c r="D14" t="s">
        <v>487</v>
      </c>
    </row>
    <row r="15" spans="1:5">
      <c r="B15" t="s">
        <v>486</v>
      </c>
      <c r="C15">
        <v>2</v>
      </c>
      <c r="D15" t="s">
        <v>487</v>
      </c>
    </row>
    <row r="16" spans="1:5">
      <c r="B16" t="s">
        <v>25</v>
      </c>
      <c r="C16">
        <v>0</v>
      </c>
      <c r="D16" t="s">
        <v>487</v>
      </c>
    </row>
    <row r="17" spans="1:9">
      <c r="B17" t="s">
        <v>523</v>
      </c>
      <c r="C17">
        <v>3.5</v>
      </c>
      <c r="D17" t="s">
        <v>21</v>
      </c>
    </row>
    <row r="18" spans="1:9">
      <c r="B18" t="s">
        <v>718</v>
      </c>
      <c r="C18">
        <v>0.45</v>
      </c>
      <c r="D18" t="s">
        <v>21</v>
      </c>
    </row>
    <row r="20" spans="1:9">
      <c r="A20" s="2" t="s">
        <v>136</v>
      </c>
    </row>
    <row r="21" spans="1:9">
      <c r="B21" t="s">
        <v>719</v>
      </c>
      <c r="C21">
        <f>C14*C13+C9</f>
        <v>12</v>
      </c>
      <c r="D21" t="s">
        <v>21</v>
      </c>
    </row>
    <row r="22" spans="1:9">
      <c r="B22" t="s">
        <v>720</v>
      </c>
      <c r="C22">
        <f>C17*C9</f>
        <v>42</v>
      </c>
      <c r="D22" t="s">
        <v>49</v>
      </c>
    </row>
    <row r="23" spans="1:9">
      <c r="B23" t="s">
        <v>721</v>
      </c>
      <c r="C23">
        <f>C14*C13*C17</f>
        <v>0</v>
      </c>
      <c r="D23" t="s">
        <v>49</v>
      </c>
    </row>
    <row r="24" spans="1:9">
      <c r="B24" t="s">
        <v>722</v>
      </c>
      <c r="C24">
        <f>C22+C23</f>
        <v>42</v>
      </c>
      <c r="D24" t="s">
        <v>49</v>
      </c>
    </row>
    <row r="26" spans="1:9">
      <c r="A26" s="2" t="s">
        <v>26</v>
      </c>
      <c r="B26" s="2" t="s">
        <v>723</v>
      </c>
    </row>
    <row r="27" spans="1:9" ht="15.75" thickBot="1">
      <c r="B27" s="1" t="s">
        <v>1</v>
      </c>
      <c r="C27" s="1" t="s">
        <v>2</v>
      </c>
      <c r="D27" s="1" t="s">
        <v>3</v>
      </c>
      <c r="E27" s="1" t="s">
        <v>4</v>
      </c>
      <c r="F27" s="1" t="s">
        <v>616</v>
      </c>
      <c r="G27" s="1" t="s">
        <v>4</v>
      </c>
      <c r="H27" s="1" t="s">
        <v>643</v>
      </c>
      <c r="I27" s="1" t="s">
        <v>3</v>
      </c>
    </row>
    <row r="28" spans="1:9">
      <c r="A28" t="s">
        <v>37</v>
      </c>
      <c r="B28" t="s">
        <v>724</v>
      </c>
      <c r="C28">
        <v>0.57399999999999995</v>
      </c>
      <c r="D28" t="s">
        <v>48</v>
      </c>
      <c r="F28" t="s">
        <v>683</v>
      </c>
      <c r="G28" t="s">
        <v>725</v>
      </c>
      <c r="H28" s="15">
        <f>C28*7800/125</f>
        <v>35.817599999999999</v>
      </c>
      <c r="I28" t="s">
        <v>21</v>
      </c>
    </row>
    <row r="29" spans="1:9">
      <c r="A29" t="s">
        <v>39</v>
      </c>
      <c r="B29" t="s">
        <v>726</v>
      </c>
      <c r="C29">
        <v>5.3</v>
      </c>
      <c r="D29" t="s">
        <v>159</v>
      </c>
      <c r="E29" t="s">
        <v>727</v>
      </c>
      <c r="H29" s="15"/>
    </row>
    <row r="30" spans="1:9">
      <c r="B30" t="s">
        <v>728</v>
      </c>
      <c r="C30">
        <v>0.3</v>
      </c>
      <c r="D30" t="s">
        <v>159</v>
      </c>
      <c r="E30" t="s">
        <v>727</v>
      </c>
      <c r="H30" s="15"/>
    </row>
    <row r="31" spans="1:9">
      <c r="B31" t="s">
        <v>729</v>
      </c>
      <c r="C31">
        <v>1.0900000000000001</v>
      </c>
      <c r="D31" t="s">
        <v>159</v>
      </c>
      <c r="H31" s="15"/>
    </row>
    <row r="32" spans="1:9">
      <c r="B32" t="s">
        <v>730</v>
      </c>
      <c r="C32">
        <v>0.82</v>
      </c>
      <c r="D32" t="s">
        <v>159</v>
      </c>
      <c r="E32" t="s">
        <v>727</v>
      </c>
      <c r="H32" s="15"/>
    </row>
    <row r="33" spans="1:9">
      <c r="B33" t="s">
        <v>731</v>
      </c>
      <c r="C33">
        <f>$C$9*2</f>
        <v>24</v>
      </c>
      <c r="D33" t="s">
        <v>102</v>
      </c>
      <c r="F33" t="s">
        <v>696</v>
      </c>
      <c r="H33">
        <f>C33</f>
        <v>24</v>
      </c>
      <c r="I33" t="s">
        <v>21</v>
      </c>
    </row>
    <row r="34" spans="1:9">
      <c r="B34" t="s">
        <v>732</v>
      </c>
      <c r="C34">
        <f>$C$9*2</f>
        <v>24</v>
      </c>
      <c r="D34" t="s">
        <v>102</v>
      </c>
      <c r="F34" t="s">
        <v>733</v>
      </c>
      <c r="G34" t="s">
        <v>734</v>
      </c>
      <c r="H34" s="9">
        <f>C34*0.4*0.4</f>
        <v>3.8400000000000007</v>
      </c>
      <c r="I34" t="s">
        <v>48</v>
      </c>
    </row>
    <row r="35" spans="1:9">
      <c r="A35" t="s">
        <v>735</v>
      </c>
      <c r="B35" t="s">
        <v>736</v>
      </c>
      <c r="C35">
        <f>$C$24</f>
        <v>42</v>
      </c>
      <c r="D35" t="s">
        <v>49</v>
      </c>
      <c r="F35" t="s">
        <v>737</v>
      </c>
      <c r="G35" t="s">
        <v>738</v>
      </c>
      <c r="H35">
        <f>C35*0.01*2500</f>
        <v>1050</v>
      </c>
      <c r="I35" t="s">
        <v>644</v>
      </c>
    </row>
    <row r="37" spans="1:9">
      <c r="A37" s="2" t="s">
        <v>26</v>
      </c>
      <c r="B37" s="2" t="s">
        <v>96</v>
      </c>
    </row>
    <row r="38" spans="1:9" ht="15.75" thickBot="1">
      <c r="B38" s="1" t="s">
        <v>1</v>
      </c>
      <c r="C38" s="1" t="s">
        <v>2</v>
      </c>
      <c r="D38" s="1" t="s">
        <v>3</v>
      </c>
      <c r="E38" s="1" t="s">
        <v>4</v>
      </c>
      <c r="F38" s="1" t="s">
        <v>616</v>
      </c>
      <c r="G38" s="1" t="s">
        <v>4</v>
      </c>
      <c r="H38" s="1" t="s">
        <v>643</v>
      </c>
      <c r="I38" s="1" t="s">
        <v>3</v>
      </c>
    </row>
    <row r="39" spans="1:9">
      <c r="A39" t="s">
        <v>37</v>
      </c>
      <c r="B39" t="s">
        <v>739</v>
      </c>
      <c r="C39">
        <v>6</v>
      </c>
      <c r="D39" s="15" t="s">
        <v>48</v>
      </c>
      <c r="F39" t="s">
        <v>733</v>
      </c>
      <c r="H39" s="101">
        <f>C39</f>
        <v>6</v>
      </c>
      <c r="I39" t="s">
        <v>48</v>
      </c>
    </row>
    <row r="40" spans="1:9">
      <c r="B40" t="s">
        <v>740</v>
      </c>
      <c r="C40">
        <v>0.63400000000000001</v>
      </c>
      <c r="D40" s="15" t="s">
        <v>159</v>
      </c>
      <c r="F40" t="s">
        <v>620</v>
      </c>
      <c r="H40" s="101">
        <f>C40*1000</f>
        <v>634</v>
      </c>
      <c r="I40" t="s">
        <v>644</v>
      </c>
    </row>
    <row r="41" spans="1:9">
      <c r="A41" t="s">
        <v>38</v>
      </c>
      <c r="B41" t="s">
        <v>741</v>
      </c>
      <c r="C41">
        <v>3.79</v>
      </c>
      <c r="D41" s="15" t="s">
        <v>48</v>
      </c>
      <c r="F41" t="s">
        <v>733</v>
      </c>
      <c r="H41" s="101">
        <f>C41</f>
        <v>3.79</v>
      </c>
      <c r="I41" t="s">
        <v>48</v>
      </c>
    </row>
    <row r="42" spans="1:9">
      <c r="B42" t="s">
        <v>742</v>
      </c>
      <c r="C42">
        <v>0.63400000000000001</v>
      </c>
      <c r="D42" t="s">
        <v>159</v>
      </c>
      <c r="F42" t="s">
        <v>620</v>
      </c>
      <c r="H42" s="101">
        <f>C42*1000</f>
        <v>634</v>
      </c>
      <c r="I42" t="s">
        <v>644</v>
      </c>
    </row>
    <row r="43" spans="1:9">
      <c r="A43" t="s">
        <v>39</v>
      </c>
      <c r="B43" t="s">
        <v>743</v>
      </c>
      <c r="C43">
        <f>$C$35*0.45</f>
        <v>18.900000000000002</v>
      </c>
      <c r="D43" s="15" t="s">
        <v>48</v>
      </c>
      <c r="E43" t="s">
        <v>744</v>
      </c>
      <c r="F43" t="s">
        <v>617</v>
      </c>
      <c r="H43" s="101">
        <f>C43</f>
        <v>18.900000000000002</v>
      </c>
      <c r="I43" t="s">
        <v>48</v>
      </c>
    </row>
    <row r="44" spans="1:9">
      <c r="B44" t="s">
        <v>745</v>
      </c>
      <c r="C44" s="9">
        <f>C43*120/1000</f>
        <v>2.2680000000000002</v>
      </c>
      <c r="D44" t="s">
        <v>159</v>
      </c>
      <c r="E44" t="s">
        <v>746</v>
      </c>
      <c r="F44" t="s">
        <v>620</v>
      </c>
      <c r="H44" s="101">
        <f>C44*1000</f>
        <v>2268.0000000000005</v>
      </c>
      <c r="I44" t="s">
        <v>644</v>
      </c>
    </row>
    <row r="45" spans="1:9">
      <c r="B45" t="s">
        <v>747</v>
      </c>
      <c r="C45" s="9">
        <f>C43*30/1000</f>
        <v>0.56700000000000006</v>
      </c>
      <c r="D45" t="s">
        <v>159</v>
      </c>
      <c r="E45" t="s">
        <v>748</v>
      </c>
      <c r="F45" t="s">
        <v>620</v>
      </c>
      <c r="H45" s="101">
        <f>C45*1000</f>
        <v>567.00000000000011</v>
      </c>
      <c r="I45" t="s">
        <v>644</v>
      </c>
    </row>
    <row r="46" spans="1:9">
      <c r="B46" t="s">
        <v>731</v>
      </c>
      <c r="C46">
        <f>$C$9*2</f>
        <v>24</v>
      </c>
      <c r="D46" t="s">
        <v>102</v>
      </c>
      <c r="F46" t="s">
        <v>749</v>
      </c>
      <c r="H46" s="101">
        <f>C46</f>
        <v>24</v>
      </c>
      <c r="I46" t="s">
        <v>21</v>
      </c>
    </row>
    <row r="47" spans="1:9">
      <c r="B47" t="s">
        <v>732</v>
      </c>
      <c r="C47">
        <f>$C$9*2</f>
        <v>24</v>
      </c>
      <c r="D47" s="15" t="s">
        <v>102</v>
      </c>
      <c r="F47" t="s">
        <v>733</v>
      </c>
      <c r="G47" t="s">
        <v>734</v>
      </c>
      <c r="H47" s="102">
        <f>C47*0.4*0.4</f>
        <v>3.8400000000000007</v>
      </c>
      <c r="I47" t="s">
        <v>48</v>
      </c>
    </row>
    <row r="48" spans="1:9">
      <c r="A48" t="s">
        <v>735</v>
      </c>
      <c r="B48" t="s">
        <v>750</v>
      </c>
      <c r="C48">
        <f>$C$24</f>
        <v>42</v>
      </c>
      <c r="D48" t="s">
        <v>49</v>
      </c>
      <c r="F48" t="s">
        <v>660</v>
      </c>
      <c r="G48" t="s">
        <v>751</v>
      </c>
      <c r="H48" s="102">
        <f>C48*0.04*2500</f>
        <v>4200</v>
      </c>
      <c r="I48" t="s">
        <v>644</v>
      </c>
    </row>
    <row r="49" spans="1:9">
      <c r="H49" s="101"/>
    </row>
    <row r="50" spans="1:9">
      <c r="A50" s="2" t="s">
        <v>26</v>
      </c>
      <c r="B50" s="2" t="s">
        <v>752</v>
      </c>
      <c r="H50" s="101"/>
    </row>
    <row r="51" spans="1:9" ht="15.75" thickBot="1">
      <c r="B51" s="1" t="s">
        <v>1</v>
      </c>
      <c r="C51" s="1" t="s">
        <v>2</v>
      </c>
      <c r="D51" s="1" t="s">
        <v>3</v>
      </c>
      <c r="E51" s="1" t="s">
        <v>4</v>
      </c>
      <c r="F51" s="1" t="s">
        <v>616</v>
      </c>
      <c r="G51" s="1" t="s">
        <v>4</v>
      </c>
      <c r="H51" s="103" t="s">
        <v>643</v>
      </c>
      <c r="I51" s="1" t="s">
        <v>3</v>
      </c>
    </row>
    <row r="52" spans="1:9">
      <c r="A52" t="s">
        <v>37</v>
      </c>
      <c r="B52" t="s">
        <v>739</v>
      </c>
      <c r="C52">
        <v>6</v>
      </c>
      <c r="D52" t="s">
        <v>48</v>
      </c>
      <c r="F52" t="s">
        <v>733</v>
      </c>
      <c r="H52" s="101">
        <f>C52</f>
        <v>6</v>
      </c>
      <c r="I52" t="s">
        <v>48</v>
      </c>
    </row>
    <row r="53" spans="1:9">
      <c r="B53" t="s">
        <v>740</v>
      </c>
      <c r="C53">
        <v>0.63400000000000001</v>
      </c>
      <c r="D53" t="s">
        <v>159</v>
      </c>
      <c r="F53" t="s">
        <v>620</v>
      </c>
      <c r="H53" s="101">
        <f>C53*1000</f>
        <v>634</v>
      </c>
      <c r="I53" t="s">
        <v>644</v>
      </c>
    </row>
    <row r="54" spans="1:9">
      <c r="A54" t="s">
        <v>38</v>
      </c>
      <c r="B54" t="s">
        <v>741</v>
      </c>
      <c r="C54">
        <v>3.79</v>
      </c>
      <c r="D54" t="s">
        <v>48</v>
      </c>
      <c r="F54" t="s">
        <v>733</v>
      </c>
      <c r="H54" s="101">
        <f>C54</f>
        <v>3.79</v>
      </c>
      <c r="I54" t="s">
        <v>48</v>
      </c>
    </row>
    <row r="55" spans="1:9">
      <c r="B55" t="s">
        <v>742</v>
      </c>
      <c r="C55">
        <v>0.63400000000000001</v>
      </c>
      <c r="D55" t="s">
        <v>159</v>
      </c>
      <c r="F55" t="s">
        <v>620</v>
      </c>
      <c r="H55" s="101">
        <f>C55*1000</f>
        <v>634</v>
      </c>
      <c r="I55" t="s">
        <v>644</v>
      </c>
    </row>
    <row r="56" spans="1:9">
      <c r="A56" t="s">
        <v>39</v>
      </c>
      <c r="B56" t="s">
        <v>753</v>
      </c>
      <c r="C56">
        <v>5.0999999999999996</v>
      </c>
      <c r="D56" t="s">
        <v>159</v>
      </c>
      <c r="F56" t="s">
        <v>683</v>
      </c>
      <c r="G56" t="s">
        <v>684</v>
      </c>
      <c r="H56" s="102">
        <f>C56*1000/125</f>
        <v>40.799999999999997</v>
      </c>
      <c r="I56" t="s">
        <v>21</v>
      </c>
    </row>
    <row r="57" spans="1:9">
      <c r="B57" t="s">
        <v>731</v>
      </c>
      <c r="C57">
        <f>$C$9*2</f>
        <v>24</v>
      </c>
      <c r="D57" t="s">
        <v>102</v>
      </c>
      <c r="F57" t="s">
        <v>749</v>
      </c>
      <c r="H57" s="101">
        <f>C57</f>
        <v>24</v>
      </c>
      <c r="I57" t="s">
        <v>21</v>
      </c>
    </row>
    <row r="58" spans="1:9">
      <c r="B58" t="s">
        <v>754</v>
      </c>
      <c r="C58">
        <v>2.52</v>
      </c>
      <c r="D58" t="s">
        <v>159</v>
      </c>
      <c r="F58" t="s">
        <v>683</v>
      </c>
      <c r="G58" t="s">
        <v>684</v>
      </c>
      <c r="H58" s="102">
        <f>C58*1000/125</f>
        <v>20.16</v>
      </c>
      <c r="I58" t="s">
        <v>21</v>
      </c>
    </row>
    <row r="59" spans="1:9">
      <c r="A59" t="s">
        <v>735</v>
      </c>
      <c r="B59" t="s">
        <v>736</v>
      </c>
      <c r="C59">
        <f>$C$24</f>
        <v>42</v>
      </c>
      <c r="D59" t="s">
        <v>49</v>
      </c>
      <c r="F59" t="s">
        <v>737</v>
      </c>
      <c r="G59" t="s">
        <v>738</v>
      </c>
      <c r="H59" s="102">
        <f>C59*0.01*2500</f>
        <v>1050</v>
      </c>
      <c r="I59" t="s">
        <v>644</v>
      </c>
    </row>
    <row r="60" spans="1:9">
      <c r="H60" s="101"/>
    </row>
    <row r="61" spans="1:9">
      <c r="A61" s="2" t="s">
        <v>26</v>
      </c>
      <c r="B61" s="2" t="s">
        <v>755</v>
      </c>
      <c r="H61" s="101"/>
    </row>
    <row r="62" spans="1:9" ht="15.75" thickBot="1">
      <c r="B62" s="1" t="s">
        <v>1</v>
      </c>
      <c r="C62" s="1" t="s">
        <v>2</v>
      </c>
      <c r="D62" s="1" t="s">
        <v>3</v>
      </c>
      <c r="E62" s="1" t="s">
        <v>4</v>
      </c>
      <c r="F62" s="1" t="s">
        <v>616</v>
      </c>
      <c r="G62" s="1" t="s">
        <v>4</v>
      </c>
      <c r="H62" s="103" t="s">
        <v>643</v>
      </c>
      <c r="I62" s="1" t="s">
        <v>3</v>
      </c>
    </row>
    <row r="63" spans="1:9">
      <c r="A63" t="s">
        <v>37</v>
      </c>
      <c r="B63" t="s">
        <v>739</v>
      </c>
      <c r="C63">
        <v>2.71</v>
      </c>
      <c r="D63" t="s">
        <v>48</v>
      </c>
      <c r="F63" t="s">
        <v>733</v>
      </c>
      <c r="H63" s="101">
        <f>C63</f>
        <v>2.71</v>
      </c>
      <c r="I63" t="s">
        <v>48</v>
      </c>
    </row>
    <row r="64" spans="1:9">
      <c r="A64" t="s">
        <v>37</v>
      </c>
      <c r="B64" t="s">
        <v>740</v>
      </c>
      <c r="C64">
        <v>0.20499999999999999</v>
      </c>
      <c r="D64" t="s">
        <v>159</v>
      </c>
      <c r="F64" t="s">
        <v>620</v>
      </c>
      <c r="H64" s="101">
        <f>C64*1000</f>
        <v>205</v>
      </c>
      <c r="I64" t="s">
        <v>644</v>
      </c>
    </row>
    <row r="65" spans="1:9">
      <c r="A65" t="s">
        <v>38</v>
      </c>
      <c r="B65" t="s">
        <v>741</v>
      </c>
      <c r="C65">
        <v>1.04</v>
      </c>
      <c r="D65" t="s">
        <v>48</v>
      </c>
      <c r="F65" t="s">
        <v>733</v>
      </c>
      <c r="H65" s="101">
        <f>C65</f>
        <v>1.04</v>
      </c>
      <c r="I65" t="s">
        <v>48</v>
      </c>
    </row>
    <row r="66" spans="1:9">
      <c r="A66" t="s">
        <v>38</v>
      </c>
      <c r="B66" t="s">
        <v>742</v>
      </c>
      <c r="C66">
        <v>7.0999999999999994E-2</v>
      </c>
      <c r="D66" t="s">
        <v>159</v>
      </c>
      <c r="F66" t="s">
        <v>620</v>
      </c>
      <c r="H66" s="101">
        <f>C66*1000</f>
        <v>71</v>
      </c>
      <c r="I66" t="s">
        <v>644</v>
      </c>
    </row>
    <row r="67" spans="1:9">
      <c r="A67" t="s">
        <v>39</v>
      </c>
      <c r="B67" t="s">
        <v>756</v>
      </c>
      <c r="C67">
        <v>12.75</v>
      </c>
      <c r="D67" t="s">
        <v>159</v>
      </c>
      <c r="F67" t="s">
        <v>757</v>
      </c>
      <c r="G67" t="s">
        <v>758</v>
      </c>
      <c r="H67" s="102">
        <f>C67/(1.06*0.0284)</f>
        <v>423.53175657719902</v>
      </c>
      <c r="I67" t="s">
        <v>21</v>
      </c>
    </row>
    <row r="68" spans="1:9">
      <c r="A68" t="s">
        <v>39</v>
      </c>
      <c r="B68" t="s">
        <v>759</v>
      </c>
      <c r="C68">
        <v>4.7E-2</v>
      </c>
      <c r="D68" t="s">
        <v>159</v>
      </c>
      <c r="F68" t="s">
        <v>683</v>
      </c>
      <c r="G68" t="s">
        <v>684</v>
      </c>
      <c r="H68" s="102">
        <f>C68*1000/125</f>
        <v>0.376</v>
      </c>
      <c r="I68" t="s">
        <v>21</v>
      </c>
    </row>
    <row r="69" spans="1:9">
      <c r="A69" t="s">
        <v>39</v>
      </c>
      <c r="B69" t="s">
        <v>731</v>
      </c>
      <c r="C69">
        <f>$C$9*2</f>
        <v>24</v>
      </c>
      <c r="D69" t="s">
        <v>102</v>
      </c>
      <c r="F69" t="s">
        <v>749</v>
      </c>
      <c r="H69" s="101">
        <f>C69</f>
        <v>24</v>
      </c>
      <c r="I69" t="s">
        <v>21</v>
      </c>
    </row>
    <row r="70" spans="1:9">
      <c r="A70" t="s">
        <v>39</v>
      </c>
      <c r="B70" t="s">
        <v>732</v>
      </c>
      <c r="C70">
        <f>$C$9*2</f>
        <v>24</v>
      </c>
      <c r="D70" t="s">
        <v>102</v>
      </c>
      <c r="F70" t="s">
        <v>757</v>
      </c>
      <c r="G70" t="s">
        <v>758</v>
      </c>
      <c r="H70" s="102">
        <f>C70</f>
        <v>24</v>
      </c>
      <c r="I70" t="s">
        <v>21</v>
      </c>
    </row>
    <row r="71" spans="1:9">
      <c r="A71" t="s">
        <v>735</v>
      </c>
      <c r="B71" t="s">
        <v>736</v>
      </c>
      <c r="C71">
        <f>$C$24</f>
        <v>42</v>
      </c>
      <c r="D71" t="s">
        <v>49</v>
      </c>
      <c r="F71" t="s">
        <v>737</v>
      </c>
      <c r="G71" t="s">
        <v>738</v>
      </c>
      <c r="H71" s="102">
        <f>C71*0.01*2500</f>
        <v>1050</v>
      </c>
      <c r="I71" t="s">
        <v>644</v>
      </c>
    </row>
    <row r="77" spans="1:9">
      <c r="H77" s="104"/>
    </row>
  </sheetData>
  <pageMargins left="0.7" right="0.7" top="0.75" bottom="0.75" header="0.3" footer="0.3"/>
  <pageSetup paperSize="9" orientation="portrait" horizontalDpi="300" verticalDpi="3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I77"/>
  <sheetViews>
    <sheetView topLeftCell="A19" zoomScale="70" zoomScaleNormal="70" workbookViewId="0"/>
  </sheetViews>
  <sheetFormatPr defaultRowHeight="15"/>
  <cols>
    <col min="1" max="1" width="28.85546875" customWidth="1"/>
    <col min="2" max="2" width="52.85546875" bestFit="1" customWidth="1"/>
    <col min="3" max="3" width="10" bestFit="1" customWidth="1"/>
    <col min="5" max="5" width="19.28515625" bestFit="1" customWidth="1"/>
    <col min="6" max="6" width="58.140625" customWidth="1"/>
    <col min="7" max="7" width="24.42578125" customWidth="1"/>
    <col min="8" max="8" width="16.5703125" customWidth="1"/>
  </cols>
  <sheetData>
    <row r="1" spans="1:5">
      <c r="A1" s="105" t="s">
        <v>708</v>
      </c>
    </row>
    <row r="2" spans="1:5" ht="15.75" thickBot="1">
      <c r="B2" s="1" t="s">
        <v>1</v>
      </c>
      <c r="C2" s="1" t="s">
        <v>4</v>
      </c>
    </row>
    <row r="3" spans="1:5">
      <c r="B3" s="86" t="s">
        <v>709</v>
      </c>
      <c r="C3" s="86" t="s">
        <v>760</v>
      </c>
    </row>
    <row r="4" spans="1:5">
      <c r="B4" s="86" t="s">
        <v>711</v>
      </c>
      <c r="C4" s="86" t="s">
        <v>712</v>
      </c>
    </row>
    <row r="5" spans="1:5">
      <c r="B5" s="86" t="s">
        <v>713</v>
      </c>
      <c r="C5" s="86"/>
    </row>
    <row r="6" spans="1:5">
      <c r="B6" s="86"/>
      <c r="C6" s="86"/>
    </row>
    <row r="7" spans="1:5">
      <c r="A7" s="2" t="s">
        <v>0</v>
      </c>
    </row>
    <row r="8" spans="1:5" ht="15.75" thickBot="1">
      <c r="B8" s="1" t="s">
        <v>1</v>
      </c>
      <c r="C8" s="1" t="s">
        <v>2</v>
      </c>
      <c r="D8" s="1" t="s">
        <v>3</v>
      </c>
      <c r="E8" s="1" t="s">
        <v>4</v>
      </c>
    </row>
    <row r="9" spans="1:5">
      <c r="B9" t="s">
        <v>715</v>
      </c>
      <c r="C9">
        <v>40</v>
      </c>
      <c r="D9" t="s">
        <v>21</v>
      </c>
    </row>
    <row r="11" spans="1:5">
      <c r="A11" s="2" t="s">
        <v>11</v>
      </c>
    </row>
    <row r="12" spans="1:5" ht="15.75" thickBot="1">
      <c r="B12" s="100" t="s">
        <v>1</v>
      </c>
      <c r="C12" s="100" t="s">
        <v>2</v>
      </c>
      <c r="D12" s="100" t="s">
        <v>3</v>
      </c>
      <c r="E12" s="1" t="s">
        <v>4</v>
      </c>
    </row>
    <row r="13" spans="1:5">
      <c r="B13" t="s">
        <v>716</v>
      </c>
      <c r="C13">
        <v>225</v>
      </c>
      <c r="D13" t="s">
        <v>21</v>
      </c>
    </row>
    <row r="14" spans="1:5">
      <c r="B14" t="s">
        <v>717</v>
      </c>
      <c r="C14">
        <v>2</v>
      </c>
      <c r="D14" t="s">
        <v>487</v>
      </c>
    </row>
    <row r="15" spans="1:5">
      <c r="B15" t="s">
        <v>486</v>
      </c>
      <c r="C15">
        <v>2</v>
      </c>
      <c r="D15" t="s">
        <v>487</v>
      </c>
    </row>
    <row r="16" spans="1:5">
      <c r="B16" t="s">
        <v>25</v>
      </c>
      <c r="C16">
        <v>0</v>
      </c>
      <c r="D16" t="s">
        <v>487</v>
      </c>
    </row>
    <row r="17" spans="1:9">
      <c r="B17" t="s">
        <v>523</v>
      </c>
      <c r="C17">
        <v>5</v>
      </c>
      <c r="D17" t="s">
        <v>21</v>
      </c>
    </row>
    <row r="18" spans="1:9">
      <c r="B18" t="s">
        <v>718</v>
      </c>
      <c r="C18">
        <v>1.4</v>
      </c>
      <c r="D18" t="s">
        <v>21</v>
      </c>
    </row>
    <row r="20" spans="1:9">
      <c r="A20" s="2" t="s">
        <v>136</v>
      </c>
    </row>
    <row r="21" spans="1:9">
      <c r="B21" t="s">
        <v>719</v>
      </c>
      <c r="C21">
        <f>C14*C13+C9</f>
        <v>490</v>
      </c>
      <c r="D21" t="s">
        <v>21</v>
      </c>
    </row>
    <row r="22" spans="1:9">
      <c r="B22" t="s">
        <v>720</v>
      </c>
      <c r="C22">
        <f>C17*C9</f>
        <v>200</v>
      </c>
      <c r="D22" t="s">
        <v>49</v>
      </c>
    </row>
    <row r="23" spans="1:9">
      <c r="B23" t="s">
        <v>721</v>
      </c>
      <c r="C23">
        <f>C14*C13*C17</f>
        <v>2250</v>
      </c>
      <c r="D23" t="s">
        <v>49</v>
      </c>
    </row>
    <row r="24" spans="1:9">
      <c r="B24" t="s">
        <v>722</v>
      </c>
      <c r="C24">
        <f>C22+C23</f>
        <v>2450</v>
      </c>
      <c r="D24" t="s">
        <v>49</v>
      </c>
    </row>
    <row r="26" spans="1:9">
      <c r="A26" s="2" t="s">
        <v>26</v>
      </c>
      <c r="B26" s="2" t="s">
        <v>96</v>
      </c>
    </row>
    <row r="27" spans="1:9" ht="15.75" thickBot="1">
      <c r="B27" s="1" t="s">
        <v>1</v>
      </c>
      <c r="C27" s="1" t="s">
        <v>2</v>
      </c>
      <c r="D27" s="1" t="s">
        <v>3</v>
      </c>
      <c r="E27" s="1" t="s">
        <v>4</v>
      </c>
      <c r="F27" s="1" t="s">
        <v>616</v>
      </c>
      <c r="G27" s="1" t="s">
        <v>4</v>
      </c>
      <c r="H27" s="1" t="s">
        <v>643</v>
      </c>
      <c r="I27" s="1" t="s">
        <v>3</v>
      </c>
    </row>
    <row r="28" spans="1:9">
      <c r="A28" t="s">
        <v>37</v>
      </c>
      <c r="B28" t="s">
        <v>739</v>
      </c>
      <c r="C28">
        <v>24.3</v>
      </c>
      <c r="D28" t="s">
        <v>48</v>
      </c>
      <c r="F28" t="s">
        <v>733</v>
      </c>
      <c r="H28" s="101">
        <f>C28</f>
        <v>24.3</v>
      </c>
      <c r="I28" t="s">
        <v>48</v>
      </c>
    </row>
    <row r="29" spans="1:9">
      <c r="A29" t="s">
        <v>37</v>
      </c>
      <c r="B29" t="s">
        <v>740</v>
      </c>
      <c r="C29">
        <v>2.23</v>
      </c>
      <c r="D29" t="s">
        <v>159</v>
      </c>
      <c r="F29" t="s">
        <v>620</v>
      </c>
      <c r="H29" s="101">
        <f>C29*1000</f>
        <v>2230</v>
      </c>
      <c r="I29" t="s">
        <v>644</v>
      </c>
    </row>
    <row r="30" spans="1:9">
      <c r="A30" t="s">
        <v>38</v>
      </c>
      <c r="B30" t="s">
        <v>741</v>
      </c>
      <c r="C30">
        <v>28.08</v>
      </c>
      <c r="D30" t="s">
        <v>48</v>
      </c>
      <c r="F30" t="s">
        <v>733</v>
      </c>
      <c r="H30" s="102">
        <f>C30</f>
        <v>28.08</v>
      </c>
      <c r="I30" t="s">
        <v>48</v>
      </c>
    </row>
    <row r="31" spans="1:9">
      <c r="A31" t="s">
        <v>38</v>
      </c>
      <c r="B31" t="s">
        <v>742</v>
      </c>
      <c r="C31">
        <v>6.18</v>
      </c>
      <c r="D31" t="s">
        <v>159</v>
      </c>
      <c r="F31" t="s">
        <v>620</v>
      </c>
      <c r="H31" s="101">
        <f>C31*1000</f>
        <v>6180</v>
      </c>
      <c r="I31" t="s">
        <v>644</v>
      </c>
    </row>
    <row r="32" spans="1:9">
      <c r="A32" t="s">
        <v>39</v>
      </c>
      <c r="B32" t="s">
        <v>743</v>
      </c>
      <c r="C32">
        <f>C22*C18</f>
        <v>280</v>
      </c>
      <c r="D32" t="s">
        <v>48</v>
      </c>
      <c r="F32" t="s">
        <v>617</v>
      </c>
      <c r="H32" s="101">
        <f>C32</f>
        <v>280</v>
      </c>
      <c r="I32" t="s">
        <v>48</v>
      </c>
    </row>
    <row r="33" spans="1:9">
      <c r="A33" t="s">
        <v>39</v>
      </c>
      <c r="B33" t="s">
        <v>745</v>
      </c>
      <c r="C33">
        <f>C32*100/1000</f>
        <v>28</v>
      </c>
      <c r="D33" t="s">
        <v>159</v>
      </c>
      <c r="E33" t="s">
        <v>761</v>
      </c>
      <c r="F33" t="s">
        <v>620</v>
      </c>
      <c r="H33" s="101">
        <f>C33*1000</f>
        <v>28000</v>
      </c>
      <c r="I33" t="s">
        <v>644</v>
      </c>
    </row>
    <row r="34" spans="1:9">
      <c r="A34" t="s">
        <v>39</v>
      </c>
      <c r="B34" t="s">
        <v>747</v>
      </c>
      <c r="C34">
        <f>C32*30/1000</f>
        <v>8.4</v>
      </c>
      <c r="D34" t="s">
        <v>159</v>
      </c>
      <c r="E34" t="s">
        <v>748</v>
      </c>
      <c r="F34" t="s">
        <v>620</v>
      </c>
      <c r="H34" s="101">
        <f>C34*1000</f>
        <v>8400</v>
      </c>
      <c r="I34" t="s">
        <v>644</v>
      </c>
    </row>
    <row r="35" spans="1:9">
      <c r="A35" t="s">
        <v>39</v>
      </c>
      <c r="B35" t="s">
        <v>731</v>
      </c>
      <c r="C35">
        <f>$C$9*2</f>
        <v>80</v>
      </c>
      <c r="D35" t="s">
        <v>102</v>
      </c>
      <c r="F35" t="s">
        <v>749</v>
      </c>
      <c r="H35" s="101">
        <f>C35</f>
        <v>80</v>
      </c>
      <c r="I35" t="s">
        <v>21</v>
      </c>
    </row>
    <row r="36" spans="1:9">
      <c r="A36" t="s">
        <v>39</v>
      </c>
      <c r="B36" t="s">
        <v>732</v>
      </c>
      <c r="C36">
        <f>$C$9*2</f>
        <v>80</v>
      </c>
      <c r="D36" t="s">
        <v>102</v>
      </c>
      <c r="F36" t="s">
        <v>733</v>
      </c>
      <c r="G36" t="s">
        <v>734</v>
      </c>
      <c r="H36" s="102">
        <f>C36*0.4*0.4</f>
        <v>12.8</v>
      </c>
      <c r="I36" t="s">
        <v>48</v>
      </c>
    </row>
    <row r="37" spans="1:9">
      <c r="A37" t="s">
        <v>735</v>
      </c>
      <c r="B37" t="s">
        <v>750</v>
      </c>
      <c r="C37">
        <f>$C$24</f>
        <v>2450</v>
      </c>
      <c r="D37" t="s">
        <v>49</v>
      </c>
      <c r="F37" t="s">
        <v>660</v>
      </c>
      <c r="G37" t="s">
        <v>751</v>
      </c>
      <c r="H37" s="101">
        <f>C37*0.04*2500</f>
        <v>245000</v>
      </c>
      <c r="I37" t="s">
        <v>644</v>
      </c>
    </row>
    <row r="38" spans="1:9">
      <c r="A38" t="s">
        <v>762</v>
      </c>
      <c r="B38" t="s">
        <v>763</v>
      </c>
      <c r="C38">
        <v>8.84</v>
      </c>
      <c r="D38" t="s">
        <v>48</v>
      </c>
      <c r="F38" t="s">
        <v>733</v>
      </c>
      <c r="H38" s="102">
        <f>C38</f>
        <v>8.84</v>
      </c>
      <c r="I38" t="s">
        <v>48</v>
      </c>
    </row>
    <row r="39" spans="1:9">
      <c r="A39" t="s">
        <v>610</v>
      </c>
      <c r="B39" t="s">
        <v>764</v>
      </c>
      <c r="C39">
        <f>$C$9/10</f>
        <v>4</v>
      </c>
      <c r="D39" t="s">
        <v>487</v>
      </c>
      <c r="F39" t="s">
        <v>765</v>
      </c>
      <c r="G39" t="s">
        <v>766</v>
      </c>
      <c r="H39" s="102">
        <f>C39</f>
        <v>4</v>
      </c>
      <c r="I39" t="s">
        <v>487</v>
      </c>
    </row>
    <row r="40" spans="1:9">
      <c r="H40" s="101"/>
    </row>
    <row r="41" spans="1:9">
      <c r="A41" s="2" t="s">
        <v>26</v>
      </c>
      <c r="B41" s="2" t="s">
        <v>752</v>
      </c>
      <c r="H41" s="101"/>
    </row>
    <row r="42" spans="1:9" ht="15.75" thickBot="1">
      <c r="B42" s="1" t="s">
        <v>1</v>
      </c>
      <c r="C42" s="1" t="s">
        <v>2</v>
      </c>
      <c r="D42" s="1" t="s">
        <v>3</v>
      </c>
      <c r="E42" s="1" t="s">
        <v>4</v>
      </c>
      <c r="F42" s="1" t="s">
        <v>616</v>
      </c>
      <c r="G42" s="1" t="s">
        <v>4</v>
      </c>
      <c r="H42" s="103" t="s">
        <v>643</v>
      </c>
      <c r="I42" s="1" t="s">
        <v>3</v>
      </c>
    </row>
    <row r="43" spans="1:9">
      <c r="A43" t="s">
        <v>37</v>
      </c>
      <c r="B43" t="s">
        <v>739</v>
      </c>
      <c r="C43">
        <v>24.3</v>
      </c>
      <c r="D43" t="s">
        <v>48</v>
      </c>
      <c r="F43" t="s">
        <v>733</v>
      </c>
      <c r="H43" s="101">
        <f>C43</f>
        <v>24.3</v>
      </c>
      <c r="I43" t="s">
        <v>48</v>
      </c>
    </row>
    <row r="44" spans="1:9">
      <c r="A44" t="s">
        <v>37</v>
      </c>
      <c r="B44" t="s">
        <v>740</v>
      </c>
      <c r="C44">
        <v>2.23</v>
      </c>
      <c r="D44" t="s">
        <v>159</v>
      </c>
      <c r="F44" t="s">
        <v>620</v>
      </c>
      <c r="H44" s="101">
        <f>C44*1000</f>
        <v>2230</v>
      </c>
      <c r="I44" t="s">
        <v>644</v>
      </c>
    </row>
    <row r="45" spans="1:9">
      <c r="A45" t="s">
        <v>38</v>
      </c>
      <c r="B45" t="s">
        <v>741</v>
      </c>
      <c r="C45">
        <v>28.08</v>
      </c>
      <c r="D45" t="s">
        <v>48</v>
      </c>
      <c r="F45" t="s">
        <v>733</v>
      </c>
      <c r="H45" s="101">
        <f>C45</f>
        <v>28.08</v>
      </c>
      <c r="I45" t="s">
        <v>48</v>
      </c>
    </row>
    <row r="46" spans="1:9">
      <c r="A46" t="s">
        <v>38</v>
      </c>
      <c r="B46" t="s">
        <v>742</v>
      </c>
      <c r="C46">
        <v>6.18</v>
      </c>
      <c r="D46" t="s">
        <v>159</v>
      </c>
      <c r="F46" t="s">
        <v>620</v>
      </c>
      <c r="H46" s="101">
        <f>C46*1000</f>
        <v>6180</v>
      </c>
      <c r="I46" t="s">
        <v>644</v>
      </c>
    </row>
    <row r="47" spans="1:9">
      <c r="A47" t="s">
        <v>39</v>
      </c>
      <c r="B47" t="s">
        <v>753</v>
      </c>
      <c r="C47">
        <v>8.5</v>
      </c>
      <c r="D47" t="s">
        <v>159</v>
      </c>
      <c r="F47" t="s">
        <v>683</v>
      </c>
      <c r="G47" t="s">
        <v>684</v>
      </c>
      <c r="H47" s="102">
        <f>C47*1000/125</f>
        <v>68</v>
      </c>
      <c r="I47" t="s">
        <v>21</v>
      </c>
    </row>
    <row r="48" spans="1:9">
      <c r="A48" t="s">
        <v>39</v>
      </c>
      <c r="B48" t="s">
        <v>767</v>
      </c>
      <c r="C48">
        <v>7.6</v>
      </c>
      <c r="D48" t="s">
        <v>159</v>
      </c>
      <c r="F48" t="s">
        <v>683</v>
      </c>
      <c r="G48" t="s">
        <v>684</v>
      </c>
      <c r="H48" s="102">
        <f>C48*1000/125</f>
        <v>60.8</v>
      </c>
      <c r="I48" t="s">
        <v>21</v>
      </c>
    </row>
    <row r="49" spans="1:9">
      <c r="A49" t="s">
        <v>39</v>
      </c>
      <c r="B49" t="s">
        <v>731</v>
      </c>
      <c r="C49">
        <f>$C$9*2</f>
        <v>80</v>
      </c>
      <c r="D49" t="s">
        <v>102</v>
      </c>
      <c r="F49" t="s">
        <v>749</v>
      </c>
      <c r="H49" s="101">
        <f>C49</f>
        <v>80</v>
      </c>
      <c r="I49" t="s">
        <v>21</v>
      </c>
    </row>
    <row r="50" spans="1:9">
      <c r="A50" t="s">
        <v>39</v>
      </c>
      <c r="B50" t="s">
        <v>732</v>
      </c>
      <c r="C50">
        <f>$C$9*2</f>
        <v>80</v>
      </c>
      <c r="D50" t="s">
        <v>102</v>
      </c>
      <c r="F50" t="s">
        <v>733</v>
      </c>
      <c r="G50" t="s">
        <v>734</v>
      </c>
      <c r="H50" s="102">
        <f>C50*0.4*0.4</f>
        <v>12.8</v>
      </c>
      <c r="I50" t="s">
        <v>48</v>
      </c>
    </row>
    <row r="51" spans="1:9">
      <c r="A51" t="s">
        <v>735</v>
      </c>
      <c r="B51" t="s">
        <v>736</v>
      </c>
      <c r="C51">
        <f>$C$24</f>
        <v>2450</v>
      </c>
      <c r="D51" t="s">
        <v>49</v>
      </c>
      <c r="F51" t="s">
        <v>737</v>
      </c>
      <c r="G51" t="s">
        <v>738</v>
      </c>
      <c r="H51" s="102">
        <f>C51*0.01*2500</f>
        <v>61250</v>
      </c>
      <c r="I51" t="s">
        <v>644</v>
      </c>
    </row>
    <row r="52" spans="1:9">
      <c r="A52" t="s">
        <v>762</v>
      </c>
      <c r="B52" t="s">
        <v>763</v>
      </c>
      <c r="C52">
        <v>8.84</v>
      </c>
      <c r="D52" t="s">
        <v>48</v>
      </c>
      <c r="F52" t="s">
        <v>733</v>
      </c>
      <c r="H52" s="101">
        <f>C52</f>
        <v>8.84</v>
      </c>
      <c r="I52" t="s">
        <v>48</v>
      </c>
    </row>
    <row r="53" spans="1:9">
      <c r="A53" t="s">
        <v>610</v>
      </c>
      <c r="B53" t="s">
        <v>764</v>
      </c>
      <c r="C53">
        <f>$C$9/10</f>
        <v>4</v>
      </c>
      <c r="D53" t="s">
        <v>487</v>
      </c>
      <c r="F53" t="s">
        <v>765</v>
      </c>
      <c r="G53" t="s">
        <v>766</v>
      </c>
      <c r="H53" s="102">
        <f>C53</f>
        <v>4</v>
      </c>
      <c r="I53" t="s">
        <v>487</v>
      </c>
    </row>
    <row r="54" spans="1:9">
      <c r="H54" s="101"/>
    </row>
    <row r="55" spans="1:9">
      <c r="A55" s="2" t="s">
        <v>26</v>
      </c>
      <c r="B55" s="2" t="s">
        <v>755</v>
      </c>
      <c r="H55" s="101"/>
    </row>
    <row r="56" spans="1:9" ht="15.75" thickBot="1">
      <c r="B56" s="1" t="s">
        <v>1</v>
      </c>
      <c r="C56" s="1" t="s">
        <v>2</v>
      </c>
      <c r="D56" s="1" t="s">
        <v>3</v>
      </c>
      <c r="E56" s="1" t="s">
        <v>4</v>
      </c>
      <c r="F56" s="1" t="s">
        <v>616</v>
      </c>
      <c r="G56" s="1" t="s">
        <v>4</v>
      </c>
      <c r="H56" s="103" t="s">
        <v>643</v>
      </c>
      <c r="I56" s="1" t="s">
        <v>3</v>
      </c>
    </row>
    <row r="57" spans="1:9">
      <c r="A57" t="s">
        <v>37</v>
      </c>
      <c r="B57" t="s">
        <v>739</v>
      </c>
      <c r="C57">
        <v>24.3</v>
      </c>
      <c r="D57" t="s">
        <v>48</v>
      </c>
      <c r="F57" t="s">
        <v>733</v>
      </c>
      <c r="H57" s="101">
        <f>C57</f>
        <v>24.3</v>
      </c>
      <c r="I57" t="s">
        <v>48</v>
      </c>
    </row>
    <row r="58" spans="1:9">
      <c r="A58" t="s">
        <v>37</v>
      </c>
      <c r="B58" t="s">
        <v>740</v>
      </c>
      <c r="C58">
        <v>2.23</v>
      </c>
      <c r="D58" t="s">
        <v>159</v>
      </c>
      <c r="F58" t="s">
        <v>620</v>
      </c>
      <c r="H58" s="101">
        <f>C58*1000</f>
        <v>2230</v>
      </c>
      <c r="I58" t="s">
        <v>644</v>
      </c>
    </row>
    <row r="59" spans="1:9">
      <c r="A59" t="s">
        <v>38</v>
      </c>
      <c r="B59" t="s">
        <v>741</v>
      </c>
      <c r="C59">
        <v>28.08</v>
      </c>
      <c r="D59" t="s">
        <v>48</v>
      </c>
      <c r="F59" t="s">
        <v>733</v>
      </c>
      <c r="H59" s="101">
        <f>C59</f>
        <v>28.08</v>
      </c>
      <c r="I59" t="s">
        <v>48</v>
      </c>
    </row>
    <row r="60" spans="1:9">
      <c r="A60" t="s">
        <v>38</v>
      </c>
      <c r="B60" t="s">
        <v>742</v>
      </c>
      <c r="C60">
        <v>6.18</v>
      </c>
      <c r="D60" t="s">
        <v>159</v>
      </c>
      <c r="F60" t="s">
        <v>620</v>
      </c>
      <c r="H60" s="101">
        <f>C60*1000</f>
        <v>6180</v>
      </c>
      <c r="I60" t="s">
        <v>644</v>
      </c>
    </row>
    <row r="61" spans="1:9">
      <c r="A61" t="s">
        <v>39</v>
      </c>
      <c r="B61" t="s">
        <v>756</v>
      </c>
      <c r="C61">
        <v>24</v>
      </c>
      <c r="D61" t="s">
        <v>159</v>
      </c>
      <c r="F61" t="s">
        <v>757</v>
      </c>
      <c r="G61" t="s">
        <v>758</v>
      </c>
      <c r="H61" s="102">
        <f>C61/(1.06*0.0284)</f>
        <v>797.23624767472757</v>
      </c>
      <c r="I61" t="s">
        <v>21</v>
      </c>
    </row>
    <row r="62" spans="1:9">
      <c r="A62" t="s">
        <v>39</v>
      </c>
      <c r="B62" t="s">
        <v>759</v>
      </c>
      <c r="C62">
        <v>0.1</v>
      </c>
      <c r="D62" t="s">
        <v>159</v>
      </c>
      <c r="F62" t="s">
        <v>683</v>
      </c>
      <c r="G62" t="s">
        <v>684</v>
      </c>
      <c r="H62" s="102">
        <f>C62*1000/125</f>
        <v>0.8</v>
      </c>
      <c r="I62" t="s">
        <v>21</v>
      </c>
    </row>
    <row r="63" spans="1:9">
      <c r="A63" t="s">
        <v>39</v>
      </c>
      <c r="B63" t="s">
        <v>731</v>
      </c>
      <c r="C63">
        <f>$C$9*2</f>
        <v>80</v>
      </c>
      <c r="D63" t="s">
        <v>102</v>
      </c>
      <c r="F63" t="s">
        <v>749</v>
      </c>
      <c r="H63" s="102">
        <f>C63</f>
        <v>80</v>
      </c>
      <c r="I63" t="s">
        <v>21</v>
      </c>
    </row>
    <row r="64" spans="1:9">
      <c r="A64" t="s">
        <v>39</v>
      </c>
      <c r="B64" t="s">
        <v>732</v>
      </c>
      <c r="C64">
        <f>$C$9*2</f>
        <v>80</v>
      </c>
      <c r="D64" t="s">
        <v>102</v>
      </c>
      <c r="F64" t="s">
        <v>757</v>
      </c>
      <c r="G64" t="s">
        <v>758</v>
      </c>
      <c r="H64" s="102">
        <f>C64</f>
        <v>80</v>
      </c>
      <c r="I64" t="s">
        <v>21</v>
      </c>
    </row>
    <row r="65" spans="1:9">
      <c r="A65" t="s">
        <v>735</v>
      </c>
      <c r="B65" t="s">
        <v>736</v>
      </c>
      <c r="C65">
        <f>$C$24</f>
        <v>2450</v>
      </c>
      <c r="D65" t="s">
        <v>49</v>
      </c>
      <c r="F65" t="s">
        <v>737</v>
      </c>
      <c r="G65" t="s">
        <v>738</v>
      </c>
      <c r="H65" s="102">
        <f>C65*0.01*2500</f>
        <v>61250</v>
      </c>
      <c r="I65" t="s">
        <v>644</v>
      </c>
    </row>
    <row r="66" spans="1:9">
      <c r="A66" t="s">
        <v>762</v>
      </c>
      <c r="B66" t="s">
        <v>763</v>
      </c>
      <c r="C66">
        <v>8.84</v>
      </c>
      <c r="D66" t="s">
        <v>48</v>
      </c>
      <c r="F66" t="s">
        <v>733</v>
      </c>
      <c r="H66" s="101">
        <f>C66</f>
        <v>8.84</v>
      </c>
      <c r="I66" t="s">
        <v>48</v>
      </c>
    </row>
    <row r="67" spans="1:9">
      <c r="A67" t="s">
        <v>610</v>
      </c>
      <c r="B67" t="s">
        <v>764</v>
      </c>
      <c r="C67">
        <f>$C$9/10</f>
        <v>4</v>
      </c>
      <c r="D67" t="s">
        <v>487</v>
      </c>
      <c r="F67" t="s">
        <v>765</v>
      </c>
      <c r="G67" t="s">
        <v>766</v>
      </c>
      <c r="H67" s="102">
        <f>C67</f>
        <v>4</v>
      </c>
      <c r="I67" t="s">
        <v>487</v>
      </c>
    </row>
    <row r="68" spans="1:9">
      <c r="H68" s="101"/>
    </row>
    <row r="77" spans="1:9">
      <c r="H77" s="104"/>
    </row>
  </sheetData>
  <pageMargins left="0.7" right="0.7" top="0.75" bottom="0.75" header="0.3" footer="0.3"/>
  <pageSetup paperSize="9" orientation="portrait" horizontalDpi="300" verticalDpi="30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I73"/>
  <sheetViews>
    <sheetView topLeftCell="A28" zoomScale="70" zoomScaleNormal="70" workbookViewId="0"/>
  </sheetViews>
  <sheetFormatPr defaultRowHeight="15"/>
  <cols>
    <col min="1" max="1" width="27.28515625" customWidth="1"/>
    <col min="2" max="2" width="52.85546875" bestFit="1" customWidth="1"/>
    <col min="3" max="3" width="10" bestFit="1" customWidth="1"/>
    <col min="4" max="4" width="12" customWidth="1"/>
    <col min="5" max="5" width="39" customWidth="1"/>
    <col min="6" max="6" width="58.28515625" bestFit="1" customWidth="1"/>
    <col min="7" max="7" width="40" customWidth="1"/>
    <col min="8" max="8" width="15.140625" customWidth="1"/>
    <col min="9" max="9" width="12.140625" customWidth="1"/>
  </cols>
  <sheetData>
    <row r="1" spans="1:5">
      <c r="A1" s="105" t="s">
        <v>708</v>
      </c>
    </row>
    <row r="2" spans="1:5" ht="15.75" thickBot="1">
      <c r="B2" s="1" t="s">
        <v>1</v>
      </c>
      <c r="C2" s="1" t="s">
        <v>4</v>
      </c>
    </row>
    <row r="3" spans="1:5">
      <c r="B3" s="86" t="s">
        <v>709</v>
      </c>
      <c r="C3" s="86" t="s">
        <v>768</v>
      </c>
    </row>
    <row r="4" spans="1:5">
      <c r="B4" s="86" t="s">
        <v>711</v>
      </c>
      <c r="C4" s="86" t="s">
        <v>712</v>
      </c>
    </row>
    <row r="5" spans="1:5">
      <c r="B5" s="86" t="s">
        <v>713</v>
      </c>
    </row>
    <row r="7" spans="1:5">
      <c r="A7" s="2" t="s">
        <v>0</v>
      </c>
    </row>
    <row r="8" spans="1:5" ht="15.75" thickBot="1">
      <c r="B8" s="1" t="s">
        <v>1</v>
      </c>
      <c r="C8" s="1" t="s">
        <v>2</v>
      </c>
      <c r="D8" s="1" t="s">
        <v>3</v>
      </c>
      <c r="E8" s="1" t="s">
        <v>4</v>
      </c>
    </row>
    <row r="9" spans="1:5">
      <c r="B9" t="s">
        <v>715</v>
      </c>
      <c r="C9">
        <v>90</v>
      </c>
      <c r="D9" t="s">
        <v>21</v>
      </c>
    </row>
    <row r="11" spans="1:5">
      <c r="A11" s="2" t="s">
        <v>11</v>
      </c>
    </row>
    <row r="12" spans="1:5" ht="15.75" thickBot="1">
      <c r="B12" s="100" t="s">
        <v>1</v>
      </c>
      <c r="C12" s="100" t="s">
        <v>2</v>
      </c>
      <c r="D12" s="100" t="s">
        <v>3</v>
      </c>
      <c r="E12" s="1" t="s">
        <v>4</v>
      </c>
    </row>
    <row r="13" spans="1:5">
      <c r="B13" t="s">
        <v>716</v>
      </c>
      <c r="C13">
        <v>225</v>
      </c>
      <c r="D13" t="s">
        <v>21</v>
      </c>
    </row>
    <row r="14" spans="1:5">
      <c r="B14" t="s">
        <v>717</v>
      </c>
      <c r="C14">
        <v>2</v>
      </c>
      <c r="D14" t="s">
        <v>487</v>
      </c>
    </row>
    <row r="15" spans="1:5">
      <c r="B15" t="s">
        <v>486</v>
      </c>
      <c r="C15">
        <v>2</v>
      </c>
      <c r="D15" t="s">
        <v>487</v>
      </c>
    </row>
    <row r="16" spans="1:5">
      <c r="B16" t="s">
        <v>25</v>
      </c>
      <c r="C16">
        <v>1</v>
      </c>
      <c r="D16" t="s">
        <v>487</v>
      </c>
    </row>
    <row r="17" spans="1:9">
      <c r="B17" t="s">
        <v>523</v>
      </c>
      <c r="C17">
        <v>5</v>
      </c>
      <c r="D17" t="s">
        <v>21</v>
      </c>
    </row>
    <row r="18" spans="1:9">
      <c r="B18" t="s">
        <v>718</v>
      </c>
      <c r="C18">
        <v>1.6</v>
      </c>
      <c r="D18" t="s">
        <v>21</v>
      </c>
    </row>
    <row r="20" spans="1:9">
      <c r="A20" s="2" t="s">
        <v>136</v>
      </c>
    </row>
    <row r="21" spans="1:9">
      <c r="B21" t="s">
        <v>719</v>
      </c>
      <c r="C21">
        <f>C14*C13+C9</f>
        <v>540</v>
      </c>
      <c r="D21" t="s">
        <v>21</v>
      </c>
    </row>
    <row r="22" spans="1:9">
      <c r="B22" t="s">
        <v>720</v>
      </c>
      <c r="C22">
        <f>C17*C9</f>
        <v>450</v>
      </c>
      <c r="D22" t="s">
        <v>49</v>
      </c>
    </row>
    <row r="23" spans="1:9">
      <c r="B23" t="s">
        <v>721</v>
      </c>
      <c r="C23">
        <f>C14*C13*C17</f>
        <v>2250</v>
      </c>
      <c r="D23" t="s">
        <v>49</v>
      </c>
    </row>
    <row r="24" spans="1:9">
      <c r="B24" t="s">
        <v>722</v>
      </c>
      <c r="C24">
        <f>C22+C23</f>
        <v>2700</v>
      </c>
      <c r="D24" t="s">
        <v>49</v>
      </c>
    </row>
    <row r="26" spans="1:9">
      <c r="A26" s="2" t="s">
        <v>26</v>
      </c>
      <c r="B26" s="2" t="s">
        <v>96</v>
      </c>
    </row>
    <row r="27" spans="1:9" ht="15.75" thickBot="1">
      <c r="B27" s="1" t="s">
        <v>1</v>
      </c>
      <c r="C27" s="1" t="s">
        <v>2</v>
      </c>
      <c r="D27" s="1" t="s">
        <v>3</v>
      </c>
      <c r="E27" s="1" t="s">
        <v>4</v>
      </c>
      <c r="F27" s="1" t="s">
        <v>616</v>
      </c>
      <c r="G27" s="1" t="s">
        <v>4</v>
      </c>
      <c r="H27" s="1" t="s">
        <v>643</v>
      </c>
      <c r="I27" s="1" t="s">
        <v>3</v>
      </c>
    </row>
    <row r="28" spans="1:9">
      <c r="A28" t="s">
        <v>37</v>
      </c>
      <c r="B28" t="s">
        <v>739</v>
      </c>
      <c r="C28">
        <v>50.1</v>
      </c>
      <c r="D28" t="s">
        <v>48</v>
      </c>
      <c r="F28" t="s">
        <v>733</v>
      </c>
      <c r="H28" s="101">
        <f>C28</f>
        <v>50.1</v>
      </c>
      <c r="I28" t="s">
        <v>48</v>
      </c>
    </row>
    <row r="29" spans="1:9">
      <c r="A29" t="s">
        <v>37</v>
      </c>
      <c r="B29" t="s">
        <v>740</v>
      </c>
      <c r="C29">
        <v>4.3</v>
      </c>
      <c r="D29" t="s">
        <v>159</v>
      </c>
      <c r="F29" t="s">
        <v>620</v>
      </c>
      <c r="H29" s="101">
        <f>C29*1000</f>
        <v>4300</v>
      </c>
      <c r="I29" t="s">
        <v>644</v>
      </c>
    </row>
    <row r="30" spans="1:9">
      <c r="A30" t="s">
        <v>38</v>
      </c>
      <c r="B30" t="s">
        <v>741</v>
      </c>
      <c r="C30">
        <v>52.1</v>
      </c>
      <c r="D30" t="s">
        <v>48</v>
      </c>
      <c r="F30" t="s">
        <v>733</v>
      </c>
      <c r="H30" s="101">
        <f>C30</f>
        <v>52.1</v>
      </c>
      <c r="I30" t="s">
        <v>48</v>
      </c>
    </row>
    <row r="31" spans="1:9">
      <c r="A31" t="s">
        <v>38</v>
      </c>
      <c r="B31" t="s">
        <v>742</v>
      </c>
      <c r="C31">
        <f>C30*160/1000</f>
        <v>8.3360000000000003</v>
      </c>
      <c r="D31" t="s">
        <v>159</v>
      </c>
      <c r="E31" t="s">
        <v>769</v>
      </c>
      <c r="F31" t="s">
        <v>620</v>
      </c>
      <c r="H31" s="101">
        <f>C31*1000</f>
        <v>8336</v>
      </c>
      <c r="I31" t="s">
        <v>644</v>
      </c>
    </row>
    <row r="32" spans="1:9">
      <c r="A32" t="s">
        <v>770</v>
      </c>
      <c r="B32" t="s">
        <v>771</v>
      </c>
      <c r="C32">
        <f>$C$17*1.2*1.2</f>
        <v>7.1999999999999993</v>
      </c>
      <c r="D32" t="s">
        <v>48</v>
      </c>
      <c r="E32" t="s">
        <v>772</v>
      </c>
      <c r="F32" t="s">
        <v>733</v>
      </c>
      <c r="H32" s="101">
        <f>C32</f>
        <v>7.1999999999999993</v>
      </c>
      <c r="I32" t="s">
        <v>48</v>
      </c>
    </row>
    <row r="33" spans="1:9">
      <c r="A33" t="s">
        <v>770</v>
      </c>
      <c r="B33" t="s">
        <v>773</v>
      </c>
      <c r="C33">
        <f>C32*200/1000</f>
        <v>1.4399999999999997</v>
      </c>
      <c r="D33" t="s">
        <v>159</v>
      </c>
      <c r="E33" t="s">
        <v>774</v>
      </c>
      <c r="F33" t="s">
        <v>620</v>
      </c>
      <c r="H33" s="101">
        <f>C33*1000</f>
        <v>1439.9999999999998</v>
      </c>
      <c r="I33" t="s">
        <v>644</v>
      </c>
    </row>
    <row r="34" spans="1:9">
      <c r="A34" t="s">
        <v>770</v>
      </c>
      <c r="B34" t="s">
        <v>775</v>
      </c>
      <c r="C34" s="9">
        <f>3*4*(PI()*0.4^2)</f>
        <v>6.0318578948924033</v>
      </c>
      <c r="D34" t="s">
        <v>48</v>
      </c>
      <c r="E34" t="s">
        <v>776</v>
      </c>
      <c r="F34" t="s">
        <v>733</v>
      </c>
      <c r="H34" s="101">
        <f>C34</f>
        <v>6.0318578948924033</v>
      </c>
      <c r="I34" t="s">
        <v>48</v>
      </c>
    </row>
    <row r="35" spans="1:9">
      <c r="A35" t="s">
        <v>770</v>
      </c>
      <c r="B35" t="s">
        <v>777</v>
      </c>
      <c r="C35" s="9">
        <f>C34*200/1000</f>
        <v>1.2063715789784806</v>
      </c>
      <c r="D35" t="s">
        <v>159</v>
      </c>
      <c r="E35" t="s">
        <v>774</v>
      </c>
      <c r="F35" t="s">
        <v>620</v>
      </c>
      <c r="H35" s="101">
        <f>C35*1000</f>
        <v>1206.3715789784806</v>
      </c>
      <c r="I35" t="s">
        <v>644</v>
      </c>
    </row>
    <row r="36" spans="1:9">
      <c r="A36" t="s">
        <v>770</v>
      </c>
      <c r="B36" t="s">
        <v>778</v>
      </c>
      <c r="C36">
        <f>($C$17+0.5)*2.4*1</f>
        <v>13.2</v>
      </c>
      <c r="D36" t="s">
        <v>48</v>
      </c>
      <c r="E36" t="s">
        <v>779</v>
      </c>
      <c r="F36" t="s">
        <v>733</v>
      </c>
      <c r="H36" s="101">
        <f>C36</f>
        <v>13.2</v>
      </c>
      <c r="I36" t="s">
        <v>48</v>
      </c>
    </row>
    <row r="37" spans="1:9">
      <c r="A37" t="s">
        <v>770</v>
      </c>
      <c r="B37" t="s">
        <v>780</v>
      </c>
      <c r="C37">
        <f>C36*140/1000</f>
        <v>1.8480000000000001</v>
      </c>
      <c r="D37" t="s">
        <v>159</v>
      </c>
      <c r="E37" t="s">
        <v>781</v>
      </c>
      <c r="F37" t="s">
        <v>620</v>
      </c>
      <c r="H37" s="101">
        <f>C37*1000</f>
        <v>1848</v>
      </c>
      <c r="I37" t="s">
        <v>644</v>
      </c>
    </row>
    <row r="38" spans="1:9">
      <c r="A38" t="s">
        <v>770</v>
      </c>
      <c r="B38" t="s">
        <v>782</v>
      </c>
      <c r="C38">
        <f>8*0.4*0.4*15</f>
        <v>19.200000000000003</v>
      </c>
      <c r="D38" t="s">
        <v>48</v>
      </c>
      <c r="E38" t="s">
        <v>783</v>
      </c>
      <c r="F38" t="s">
        <v>733</v>
      </c>
      <c r="H38" s="101">
        <f>C38</f>
        <v>19.200000000000003</v>
      </c>
      <c r="I38" t="s">
        <v>48</v>
      </c>
    </row>
    <row r="39" spans="1:9">
      <c r="A39" t="s">
        <v>770</v>
      </c>
      <c r="B39" t="s">
        <v>784</v>
      </c>
      <c r="C39">
        <f>C38*100/1000</f>
        <v>1.9200000000000002</v>
      </c>
      <c r="D39" t="s">
        <v>159</v>
      </c>
      <c r="E39" t="s">
        <v>761</v>
      </c>
      <c r="F39" t="s">
        <v>620</v>
      </c>
      <c r="H39" s="101">
        <f>C39*1000</f>
        <v>1920.0000000000002</v>
      </c>
      <c r="I39" t="s">
        <v>644</v>
      </c>
    </row>
    <row r="40" spans="1:9">
      <c r="A40" t="s">
        <v>770</v>
      </c>
      <c r="B40" t="s">
        <v>785</v>
      </c>
      <c r="C40">
        <f>C38*30/1000</f>
        <v>0.57600000000000007</v>
      </c>
      <c r="D40" t="s">
        <v>159</v>
      </c>
      <c r="E40" t="s">
        <v>748</v>
      </c>
      <c r="F40" t="s">
        <v>620</v>
      </c>
      <c r="H40" s="101">
        <f>C40*1000</f>
        <v>576.00000000000011</v>
      </c>
      <c r="I40" t="s">
        <v>644</v>
      </c>
    </row>
    <row r="41" spans="1:9">
      <c r="A41" t="s">
        <v>39</v>
      </c>
      <c r="B41" t="s">
        <v>743</v>
      </c>
      <c r="C41">
        <f>$C$22*C18</f>
        <v>720</v>
      </c>
      <c r="D41" t="s">
        <v>48</v>
      </c>
      <c r="F41" t="s">
        <v>617</v>
      </c>
      <c r="H41" s="101">
        <f>C41</f>
        <v>720</v>
      </c>
      <c r="I41" t="s">
        <v>48</v>
      </c>
    </row>
    <row r="42" spans="1:9">
      <c r="A42" t="s">
        <v>39</v>
      </c>
      <c r="B42" t="s">
        <v>745</v>
      </c>
      <c r="C42">
        <f>C41*100/1000</f>
        <v>72</v>
      </c>
      <c r="D42" t="s">
        <v>159</v>
      </c>
      <c r="E42" t="s">
        <v>761</v>
      </c>
      <c r="F42" t="s">
        <v>620</v>
      </c>
      <c r="H42" s="101">
        <f>C42*1000</f>
        <v>72000</v>
      </c>
      <c r="I42" t="s">
        <v>644</v>
      </c>
    </row>
    <row r="43" spans="1:9">
      <c r="A43" t="s">
        <v>39</v>
      </c>
      <c r="B43" t="s">
        <v>747</v>
      </c>
      <c r="C43">
        <f>C41*30/1000</f>
        <v>21.6</v>
      </c>
      <c r="D43" t="s">
        <v>159</v>
      </c>
      <c r="E43" t="s">
        <v>748</v>
      </c>
      <c r="F43" t="s">
        <v>620</v>
      </c>
      <c r="H43" s="101">
        <f>C43*1000</f>
        <v>21600</v>
      </c>
      <c r="I43" t="s">
        <v>644</v>
      </c>
    </row>
    <row r="44" spans="1:9">
      <c r="A44" t="s">
        <v>39</v>
      </c>
      <c r="B44" t="s">
        <v>731</v>
      </c>
      <c r="C44">
        <f>$C$9*2</f>
        <v>180</v>
      </c>
      <c r="D44" t="s">
        <v>102</v>
      </c>
      <c r="F44" t="s">
        <v>749</v>
      </c>
      <c r="H44" s="101">
        <f>C44</f>
        <v>180</v>
      </c>
      <c r="I44" t="s">
        <v>21</v>
      </c>
    </row>
    <row r="45" spans="1:9">
      <c r="A45" t="s">
        <v>39</v>
      </c>
      <c r="B45" t="s">
        <v>732</v>
      </c>
      <c r="C45">
        <f>$C$9*2</f>
        <v>180</v>
      </c>
      <c r="D45" t="s">
        <v>102</v>
      </c>
      <c r="F45" t="s">
        <v>733</v>
      </c>
      <c r="G45" t="s">
        <v>734</v>
      </c>
      <c r="H45" s="102">
        <f>C45*0.4*0.4</f>
        <v>28.8</v>
      </c>
      <c r="I45" t="s">
        <v>48</v>
      </c>
    </row>
    <row r="46" spans="1:9">
      <c r="A46" t="s">
        <v>735</v>
      </c>
      <c r="B46" t="s">
        <v>750</v>
      </c>
      <c r="C46">
        <f>$C$24</f>
        <v>2700</v>
      </c>
      <c r="D46" t="s">
        <v>49</v>
      </c>
      <c r="F46" t="s">
        <v>660</v>
      </c>
      <c r="G46" t="s">
        <v>751</v>
      </c>
      <c r="H46" s="102">
        <f>C46*0.04*2500</f>
        <v>270000</v>
      </c>
      <c r="I46" t="s">
        <v>644</v>
      </c>
    </row>
    <row r="47" spans="1:9">
      <c r="A47" t="s">
        <v>762</v>
      </c>
      <c r="B47" t="s">
        <v>763</v>
      </c>
      <c r="C47">
        <v>8.84</v>
      </c>
      <c r="D47" t="s">
        <v>48</v>
      </c>
      <c r="F47" t="s">
        <v>733</v>
      </c>
      <c r="H47" s="101">
        <f>C47</f>
        <v>8.84</v>
      </c>
      <c r="I47" t="s">
        <v>48</v>
      </c>
    </row>
    <row r="48" spans="1:9">
      <c r="A48" t="s">
        <v>610</v>
      </c>
      <c r="B48" t="s">
        <v>764</v>
      </c>
      <c r="C48">
        <f>$C$9/10</f>
        <v>9</v>
      </c>
      <c r="D48" t="s">
        <v>487</v>
      </c>
      <c r="E48" t="s">
        <v>766</v>
      </c>
      <c r="F48" t="s">
        <v>765</v>
      </c>
      <c r="H48" s="102">
        <f>C48</f>
        <v>9</v>
      </c>
      <c r="I48" t="s">
        <v>487</v>
      </c>
    </row>
    <row r="49" spans="1:9">
      <c r="A49" t="s">
        <v>306</v>
      </c>
      <c r="B49" t="s">
        <v>786</v>
      </c>
      <c r="C49">
        <f>$C$9*(1/(1+2))</f>
        <v>30</v>
      </c>
      <c r="D49" t="s">
        <v>21</v>
      </c>
      <c r="E49" t="s">
        <v>787</v>
      </c>
      <c r="F49" t="s">
        <v>621</v>
      </c>
      <c r="G49" t="s">
        <v>788</v>
      </c>
      <c r="H49" s="102">
        <f>C49/2</f>
        <v>15</v>
      </c>
      <c r="I49" t="s">
        <v>21</v>
      </c>
    </row>
    <row r="50" spans="1:9">
      <c r="H50" s="101"/>
    </row>
    <row r="51" spans="1:9">
      <c r="A51" s="2" t="s">
        <v>26</v>
      </c>
      <c r="B51" s="2" t="s">
        <v>752</v>
      </c>
      <c r="H51" s="101"/>
    </row>
    <row r="52" spans="1:9" ht="15.75" thickBot="1">
      <c r="B52" s="1" t="s">
        <v>1</v>
      </c>
      <c r="C52" s="1" t="s">
        <v>2</v>
      </c>
      <c r="D52" s="1" t="s">
        <v>3</v>
      </c>
      <c r="E52" s="1" t="s">
        <v>4</v>
      </c>
      <c r="F52" s="1" t="s">
        <v>616</v>
      </c>
      <c r="G52" s="1" t="s">
        <v>4</v>
      </c>
      <c r="H52" s="103" t="s">
        <v>643</v>
      </c>
      <c r="I52" s="1" t="s">
        <v>3</v>
      </c>
    </row>
    <row r="53" spans="1:9">
      <c r="A53" t="s">
        <v>37</v>
      </c>
      <c r="B53" t="s">
        <v>739</v>
      </c>
      <c r="C53">
        <v>50</v>
      </c>
      <c r="D53" t="s">
        <v>48</v>
      </c>
      <c r="F53" t="s">
        <v>733</v>
      </c>
      <c r="H53" s="101">
        <f>C53</f>
        <v>50</v>
      </c>
      <c r="I53" t="s">
        <v>48</v>
      </c>
    </row>
    <row r="54" spans="1:9">
      <c r="A54" t="s">
        <v>37</v>
      </c>
      <c r="B54" t="s">
        <v>740</v>
      </c>
      <c r="C54">
        <v>4.8</v>
      </c>
      <c r="D54" t="s">
        <v>159</v>
      </c>
      <c r="F54" t="s">
        <v>620</v>
      </c>
      <c r="H54" s="101">
        <f>C54*1000</f>
        <v>4800</v>
      </c>
      <c r="I54" t="s">
        <v>644</v>
      </c>
    </row>
    <row r="55" spans="1:9">
      <c r="A55" t="s">
        <v>38</v>
      </c>
      <c r="B55" t="s">
        <v>741</v>
      </c>
      <c r="C55">
        <v>61.1</v>
      </c>
      <c r="D55" t="s">
        <v>48</v>
      </c>
      <c r="F55" t="s">
        <v>733</v>
      </c>
      <c r="H55" s="101">
        <f>C55</f>
        <v>61.1</v>
      </c>
      <c r="I55" t="s">
        <v>48</v>
      </c>
    </row>
    <row r="56" spans="1:9">
      <c r="A56" t="s">
        <v>38</v>
      </c>
      <c r="B56" t="s">
        <v>742</v>
      </c>
      <c r="C56">
        <f>C55*160/1000</f>
        <v>9.7759999999999998</v>
      </c>
      <c r="D56" t="s">
        <v>159</v>
      </c>
      <c r="E56" t="s">
        <v>769</v>
      </c>
      <c r="F56" t="s">
        <v>620</v>
      </c>
      <c r="H56" s="102">
        <f>C56*1000</f>
        <v>9776</v>
      </c>
      <c r="I56" t="s">
        <v>644</v>
      </c>
    </row>
    <row r="57" spans="1:9">
      <c r="A57" t="s">
        <v>770</v>
      </c>
      <c r="B57" t="s">
        <v>771</v>
      </c>
      <c r="C57">
        <f>$C$17*1.2*1.2</f>
        <v>7.1999999999999993</v>
      </c>
      <c r="D57" t="s">
        <v>48</v>
      </c>
      <c r="E57" t="s">
        <v>772</v>
      </c>
      <c r="F57" t="s">
        <v>733</v>
      </c>
      <c r="H57" s="102">
        <f>C57</f>
        <v>7.1999999999999993</v>
      </c>
      <c r="I57" t="s">
        <v>48</v>
      </c>
    </row>
    <row r="58" spans="1:9">
      <c r="A58" t="s">
        <v>770</v>
      </c>
      <c r="B58" t="s">
        <v>773</v>
      </c>
      <c r="C58">
        <f>C57*200/1000</f>
        <v>1.4399999999999997</v>
      </c>
      <c r="D58" t="s">
        <v>159</v>
      </c>
      <c r="E58" t="s">
        <v>774</v>
      </c>
      <c r="F58" t="s">
        <v>620</v>
      </c>
      <c r="H58" s="102">
        <f>C58*1000</f>
        <v>1439.9999999999998</v>
      </c>
      <c r="I58" t="s">
        <v>644</v>
      </c>
    </row>
    <row r="59" spans="1:9">
      <c r="A59" t="s">
        <v>770</v>
      </c>
      <c r="B59" t="s">
        <v>775</v>
      </c>
      <c r="C59" s="9">
        <f>3*4*(PI()*0.4^2)</f>
        <v>6.0318578948924033</v>
      </c>
      <c r="D59" t="s">
        <v>48</v>
      </c>
      <c r="E59" t="s">
        <v>776</v>
      </c>
      <c r="F59" t="s">
        <v>733</v>
      </c>
      <c r="H59" s="101">
        <f>C59</f>
        <v>6.0318578948924033</v>
      </c>
      <c r="I59" t="s">
        <v>48</v>
      </c>
    </row>
    <row r="60" spans="1:9">
      <c r="A60" t="s">
        <v>770</v>
      </c>
      <c r="B60" t="s">
        <v>777</v>
      </c>
      <c r="C60" s="9">
        <f>C59*200/1000</f>
        <v>1.2063715789784806</v>
      </c>
      <c r="D60" t="s">
        <v>159</v>
      </c>
      <c r="E60" t="s">
        <v>774</v>
      </c>
      <c r="F60" t="s">
        <v>620</v>
      </c>
      <c r="H60" s="101">
        <f>C60*1000</f>
        <v>1206.3715789784806</v>
      </c>
      <c r="I60" t="s">
        <v>644</v>
      </c>
    </row>
    <row r="61" spans="1:9">
      <c r="A61" t="s">
        <v>770</v>
      </c>
      <c r="B61" t="s">
        <v>778</v>
      </c>
      <c r="C61">
        <f>($C$17+0.5)*2.4*1</f>
        <v>13.2</v>
      </c>
      <c r="D61" t="s">
        <v>48</v>
      </c>
      <c r="E61" t="s">
        <v>779</v>
      </c>
      <c r="F61" t="s">
        <v>733</v>
      </c>
      <c r="H61" s="101">
        <f>C61</f>
        <v>13.2</v>
      </c>
      <c r="I61" t="s">
        <v>48</v>
      </c>
    </row>
    <row r="62" spans="1:9">
      <c r="A62" t="s">
        <v>770</v>
      </c>
      <c r="B62" t="s">
        <v>780</v>
      </c>
      <c r="C62">
        <f>C61*140/1000</f>
        <v>1.8480000000000001</v>
      </c>
      <c r="D62" t="s">
        <v>159</v>
      </c>
      <c r="E62" t="s">
        <v>781</v>
      </c>
      <c r="F62" t="s">
        <v>620</v>
      </c>
      <c r="H62" s="101">
        <f>C62*1000</f>
        <v>1848</v>
      </c>
      <c r="I62" t="s">
        <v>644</v>
      </c>
    </row>
    <row r="63" spans="1:9">
      <c r="A63" t="s">
        <v>770</v>
      </c>
      <c r="B63" t="s">
        <v>782</v>
      </c>
      <c r="C63">
        <f>8*0.4*0.4*15</f>
        <v>19.200000000000003</v>
      </c>
      <c r="D63" t="s">
        <v>48</v>
      </c>
      <c r="E63" t="s">
        <v>783</v>
      </c>
      <c r="F63" t="s">
        <v>733</v>
      </c>
      <c r="H63" s="101">
        <f>C63</f>
        <v>19.200000000000003</v>
      </c>
      <c r="I63" t="s">
        <v>48</v>
      </c>
    </row>
    <row r="64" spans="1:9">
      <c r="A64" t="s">
        <v>770</v>
      </c>
      <c r="B64" t="s">
        <v>784</v>
      </c>
      <c r="C64">
        <f>C63*100/1000</f>
        <v>1.9200000000000002</v>
      </c>
      <c r="D64" t="s">
        <v>159</v>
      </c>
      <c r="E64" t="s">
        <v>761</v>
      </c>
      <c r="F64" t="s">
        <v>620</v>
      </c>
      <c r="H64" s="101">
        <f>C64*1000</f>
        <v>1920.0000000000002</v>
      </c>
      <c r="I64" t="s">
        <v>644</v>
      </c>
    </row>
    <row r="65" spans="1:9">
      <c r="A65" t="s">
        <v>770</v>
      </c>
      <c r="B65" t="s">
        <v>785</v>
      </c>
      <c r="C65">
        <f>C63*30/1000</f>
        <v>0.57600000000000007</v>
      </c>
      <c r="D65" t="s">
        <v>159</v>
      </c>
      <c r="E65" t="s">
        <v>748</v>
      </c>
      <c r="F65" t="s">
        <v>620</v>
      </c>
      <c r="H65" s="101">
        <f>C65*1000</f>
        <v>576.00000000000011</v>
      </c>
      <c r="I65" t="s">
        <v>644</v>
      </c>
    </row>
    <row r="66" spans="1:9">
      <c r="A66" t="s">
        <v>39</v>
      </c>
      <c r="B66" t="s">
        <v>753</v>
      </c>
      <c r="C66">
        <v>17.5</v>
      </c>
      <c r="D66" t="s">
        <v>159</v>
      </c>
      <c r="F66" t="s">
        <v>683</v>
      </c>
      <c r="G66" t="s">
        <v>684</v>
      </c>
      <c r="H66" s="102">
        <f>C66*1000/125</f>
        <v>140</v>
      </c>
      <c r="I66" t="s">
        <v>21</v>
      </c>
    </row>
    <row r="67" spans="1:9">
      <c r="A67" t="s">
        <v>39</v>
      </c>
      <c r="B67" t="s">
        <v>767</v>
      </c>
      <c r="C67">
        <v>15.8</v>
      </c>
      <c r="D67" t="s">
        <v>159</v>
      </c>
      <c r="F67" t="s">
        <v>683</v>
      </c>
      <c r="G67" t="s">
        <v>684</v>
      </c>
      <c r="H67" s="102">
        <f>C67*1000/125</f>
        <v>126.4</v>
      </c>
      <c r="I67" t="s">
        <v>21</v>
      </c>
    </row>
    <row r="68" spans="1:9">
      <c r="A68" t="s">
        <v>39</v>
      </c>
      <c r="B68" t="s">
        <v>731</v>
      </c>
      <c r="C68">
        <f>$C$9*2</f>
        <v>180</v>
      </c>
      <c r="D68" t="s">
        <v>102</v>
      </c>
      <c r="F68" t="s">
        <v>749</v>
      </c>
      <c r="H68" s="101">
        <f>C68</f>
        <v>180</v>
      </c>
      <c r="I68" t="s">
        <v>21</v>
      </c>
    </row>
    <row r="69" spans="1:9">
      <c r="A69" t="s">
        <v>39</v>
      </c>
      <c r="B69" t="s">
        <v>732</v>
      </c>
      <c r="C69">
        <f>$C$9*2</f>
        <v>180</v>
      </c>
      <c r="D69" t="s">
        <v>102</v>
      </c>
      <c r="F69" t="s">
        <v>733</v>
      </c>
      <c r="G69" t="s">
        <v>734</v>
      </c>
      <c r="H69" s="102">
        <f>C69*0.4*0.4</f>
        <v>28.8</v>
      </c>
      <c r="I69" t="s">
        <v>48</v>
      </c>
    </row>
    <row r="70" spans="1:9">
      <c r="A70" t="s">
        <v>735</v>
      </c>
      <c r="B70" t="s">
        <v>736</v>
      </c>
      <c r="C70">
        <f>$C$24</f>
        <v>2700</v>
      </c>
      <c r="D70" t="s">
        <v>49</v>
      </c>
      <c r="F70" t="s">
        <v>737</v>
      </c>
      <c r="G70" t="s">
        <v>738</v>
      </c>
      <c r="H70" s="102">
        <f>C70*0.01*2500</f>
        <v>67500</v>
      </c>
      <c r="I70" t="s">
        <v>644</v>
      </c>
    </row>
    <row r="71" spans="1:9">
      <c r="A71" t="s">
        <v>762</v>
      </c>
      <c r="B71" t="s">
        <v>763</v>
      </c>
      <c r="C71">
        <v>8.84</v>
      </c>
      <c r="D71" t="s">
        <v>48</v>
      </c>
      <c r="F71" t="s">
        <v>733</v>
      </c>
      <c r="H71" s="101">
        <f>C71</f>
        <v>8.84</v>
      </c>
      <c r="I71" t="s">
        <v>48</v>
      </c>
    </row>
    <row r="72" spans="1:9">
      <c r="A72" t="s">
        <v>610</v>
      </c>
      <c r="B72" t="s">
        <v>764</v>
      </c>
      <c r="C72">
        <f>$C$9/10</f>
        <v>9</v>
      </c>
      <c r="D72" t="s">
        <v>487</v>
      </c>
      <c r="F72" t="s">
        <v>765</v>
      </c>
      <c r="G72" t="s">
        <v>766</v>
      </c>
      <c r="H72" s="102">
        <f>C72</f>
        <v>9</v>
      </c>
      <c r="I72" t="s">
        <v>487</v>
      </c>
    </row>
    <row r="73" spans="1:9">
      <c r="A73" t="s">
        <v>306</v>
      </c>
      <c r="B73" t="s">
        <v>786</v>
      </c>
      <c r="C73">
        <f>$C$9*(1/(1+2))</f>
        <v>30</v>
      </c>
      <c r="D73" t="s">
        <v>21</v>
      </c>
      <c r="E73" t="s">
        <v>787</v>
      </c>
      <c r="F73" t="s">
        <v>621</v>
      </c>
      <c r="G73" t="s">
        <v>788</v>
      </c>
      <c r="H73" s="102">
        <f>C73/2</f>
        <v>15</v>
      </c>
      <c r="I73" t="s">
        <v>21</v>
      </c>
    </row>
  </sheetData>
  <pageMargins left="0.7" right="0.7" top="0.75" bottom="0.75" header="0.3" footer="0.3"/>
  <pageSetup paperSize="9" orientation="portrait" horizontalDpi="300" verticalDpi="30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I72"/>
  <sheetViews>
    <sheetView topLeftCell="A28" zoomScale="70" zoomScaleNormal="70" workbookViewId="0">
      <selection activeCell="E75" sqref="E75"/>
    </sheetView>
  </sheetViews>
  <sheetFormatPr defaultRowHeight="15"/>
  <cols>
    <col min="1" max="1" width="26.85546875" customWidth="1"/>
    <col min="2" max="2" width="52.85546875" bestFit="1" customWidth="1"/>
    <col min="3" max="3" width="10" bestFit="1" customWidth="1"/>
    <col min="4" max="4" width="12" customWidth="1"/>
    <col min="5" max="5" width="41.7109375" customWidth="1"/>
    <col min="6" max="6" width="58.28515625" bestFit="1" customWidth="1"/>
    <col min="7" max="7" width="29.140625" bestFit="1" customWidth="1"/>
    <col min="8" max="8" width="16.5703125" customWidth="1"/>
    <col min="9" max="9" width="13.85546875" customWidth="1"/>
  </cols>
  <sheetData>
    <row r="1" spans="1:5">
      <c r="A1" s="105" t="s">
        <v>708</v>
      </c>
    </row>
    <row r="2" spans="1:5" ht="15.75" thickBot="1">
      <c r="B2" s="1" t="s">
        <v>1</v>
      </c>
      <c r="C2" s="1" t="s">
        <v>4</v>
      </c>
    </row>
    <row r="3" spans="1:5">
      <c r="B3" s="86" t="s">
        <v>709</v>
      </c>
      <c r="C3" s="86" t="s">
        <v>789</v>
      </c>
    </row>
    <row r="4" spans="1:5">
      <c r="B4" s="86" t="s">
        <v>711</v>
      </c>
      <c r="C4" s="86" t="s">
        <v>712</v>
      </c>
    </row>
    <row r="5" spans="1:5">
      <c r="B5" s="86" t="s">
        <v>713</v>
      </c>
      <c r="C5" s="86" t="s">
        <v>714</v>
      </c>
    </row>
    <row r="7" spans="1:5">
      <c r="A7" s="2" t="s">
        <v>0</v>
      </c>
    </row>
    <row r="8" spans="1:5" ht="15.75" thickBot="1">
      <c r="B8" s="1" t="s">
        <v>1</v>
      </c>
      <c r="C8" s="1" t="s">
        <v>2</v>
      </c>
      <c r="D8" s="1" t="s">
        <v>3</v>
      </c>
      <c r="E8" s="1" t="s">
        <v>4</v>
      </c>
    </row>
    <row r="9" spans="1:5">
      <c r="B9" t="s">
        <v>715</v>
      </c>
      <c r="C9">
        <v>12</v>
      </c>
      <c r="D9" t="s">
        <v>21</v>
      </c>
    </row>
    <row r="10" spans="1:5">
      <c r="B10" s="17"/>
      <c r="C10" s="17"/>
      <c r="D10" s="17"/>
      <c r="E10" s="17"/>
    </row>
    <row r="11" spans="1:5">
      <c r="A11" s="2" t="s">
        <v>11</v>
      </c>
    </row>
    <row r="12" spans="1:5" ht="15.75" thickBot="1">
      <c r="B12" s="100" t="s">
        <v>1</v>
      </c>
      <c r="C12" s="100" t="s">
        <v>2</v>
      </c>
      <c r="D12" s="100" t="s">
        <v>3</v>
      </c>
      <c r="E12" s="1" t="s">
        <v>4</v>
      </c>
    </row>
    <row r="13" spans="1:5">
      <c r="B13" t="s">
        <v>716</v>
      </c>
      <c r="C13">
        <v>115</v>
      </c>
      <c r="D13" t="s">
        <v>21</v>
      </c>
    </row>
    <row r="14" spans="1:5">
      <c r="B14" t="s">
        <v>717</v>
      </c>
      <c r="C14">
        <v>2</v>
      </c>
      <c r="D14" t="s">
        <v>487</v>
      </c>
    </row>
    <row r="15" spans="1:5">
      <c r="B15" t="s">
        <v>486</v>
      </c>
      <c r="C15">
        <v>2</v>
      </c>
      <c r="D15" t="s">
        <v>487</v>
      </c>
    </row>
    <row r="16" spans="1:5">
      <c r="B16" t="s">
        <v>25</v>
      </c>
      <c r="C16">
        <v>0</v>
      </c>
      <c r="D16" t="s">
        <v>487</v>
      </c>
    </row>
    <row r="17" spans="1:9">
      <c r="B17" t="s">
        <v>523</v>
      </c>
      <c r="C17">
        <v>3.5</v>
      </c>
      <c r="D17" t="s">
        <v>21</v>
      </c>
    </row>
    <row r="18" spans="1:9">
      <c r="B18" t="s">
        <v>718</v>
      </c>
      <c r="C18">
        <v>0.45</v>
      </c>
      <c r="D18" t="s">
        <v>21</v>
      </c>
    </row>
    <row r="20" spans="1:9">
      <c r="A20" s="2" t="s">
        <v>136</v>
      </c>
    </row>
    <row r="21" spans="1:9">
      <c r="B21" t="s">
        <v>719</v>
      </c>
      <c r="C21">
        <f>C14*C13+C9</f>
        <v>242</v>
      </c>
      <c r="D21" t="s">
        <v>21</v>
      </c>
    </row>
    <row r="22" spans="1:9">
      <c r="B22" t="s">
        <v>720</v>
      </c>
      <c r="C22">
        <f>C17*C9</f>
        <v>42</v>
      </c>
      <c r="D22" t="s">
        <v>49</v>
      </c>
    </row>
    <row r="23" spans="1:9">
      <c r="B23" t="s">
        <v>721</v>
      </c>
      <c r="C23">
        <f>C14*C13*C17</f>
        <v>805</v>
      </c>
      <c r="D23" t="s">
        <v>49</v>
      </c>
    </row>
    <row r="24" spans="1:9">
      <c r="B24" t="s">
        <v>722</v>
      </c>
      <c r="C24">
        <f>C22+C23</f>
        <v>847</v>
      </c>
      <c r="D24" t="s">
        <v>49</v>
      </c>
    </row>
    <row r="26" spans="1:9">
      <c r="A26" s="2" t="s">
        <v>26</v>
      </c>
      <c r="B26" s="2" t="s">
        <v>723</v>
      </c>
    </row>
    <row r="27" spans="1:9" ht="15.75" thickBot="1">
      <c r="B27" s="1" t="s">
        <v>1</v>
      </c>
      <c r="C27" s="1" t="s">
        <v>2</v>
      </c>
      <c r="D27" s="1" t="s">
        <v>3</v>
      </c>
      <c r="E27" s="1" t="s">
        <v>4</v>
      </c>
      <c r="F27" s="1" t="s">
        <v>616</v>
      </c>
      <c r="G27" s="1" t="s">
        <v>4</v>
      </c>
      <c r="H27" s="1" t="s">
        <v>643</v>
      </c>
      <c r="I27" s="1" t="s">
        <v>3</v>
      </c>
    </row>
    <row r="28" spans="1:9">
      <c r="A28" t="s">
        <v>37</v>
      </c>
      <c r="B28" t="s">
        <v>724</v>
      </c>
      <c r="C28">
        <v>0.57399999999999995</v>
      </c>
      <c r="D28" t="s">
        <v>48</v>
      </c>
      <c r="F28" t="s">
        <v>683</v>
      </c>
      <c r="G28" t="s">
        <v>725</v>
      </c>
      <c r="H28" s="102">
        <f>C28*7800/125</f>
        <v>35.817599999999999</v>
      </c>
      <c r="I28" t="s">
        <v>21</v>
      </c>
    </row>
    <row r="29" spans="1:9">
      <c r="A29" t="s">
        <v>39</v>
      </c>
      <c r="B29" t="s">
        <v>726</v>
      </c>
      <c r="C29">
        <v>5.3</v>
      </c>
      <c r="D29" t="s">
        <v>159</v>
      </c>
      <c r="E29" t="s">
        <v>727</v>
      </c>
      <c r="H29" s="101"/>
    </row>
    <row r="30" spans="1:9">
      <c r="B30" t="s">
        <v>728</v>
      </c>
      <c r="C30">
        <v>0.3</v>
      </c>
      <c r="D30" t="s">
        <v>159</v>
      </c>
      <c r="E30" t="s">
        <v>727</v>
      </c>
      <c r="H30" s="101"/>
    </row>
    <row r="31" spans="1:9">
      <c r="B31" t="s">
        <v>729</v>
      </c>
      <c r="C31">
        <v>1.0900000000000001</v>
      </c>
      <c r="D31" t="s">
        <v>159</v>
      </c>
      <c r="H31" s="101"/>
    </row>
    <row r="32" spans="1:9">
      <c r="B32" t="s">
        <v>730</v>
      </c>
      <c r="C32">
        <v>0.82</v>
      </c>
      <c r="D32" t="s">
        <v>159</v>
      </c>
      <c r="E32" t="s">
        <v>727</v>
      </c>
      <c r="H32" s="101"/>
    </row>
    <row r="33" spans="1:9">
      <c r="B33" t="s">
        <v>731</v>
      </c>
      <c r="C33">
        <f>$C$9*2</f>
        <v>24</v>
      </c>
      <c r="D33" t="s">
        <v>102</v>
      </c>
      <c r="F33" t="s">
        <v>696</v>
      </c>
      <c r="H33" s="101">
        <f>C33</f>
        <v>24</v>
      </c>
      <c r="I33" t="s">
        <v>21</v>
      </c>
    </row>
    <row r="34" spans="1:9">
      <c r="B34" t="s">
        <v>732</v>
      </c>
      <c r="C34">
        <f>$C$9*2</f>
        <v>24</v>
      </c>
      <c r="D34" t="s">
        <v>102</v>
      </c>
      <c r="F34" t="s">
        <v>733</v>
      </c>
      <c r="G34" t="s">
        <v>734</v>
      </c>
      <c r="H34" s="102">
        <f>C34*0.4*0.4</f>
        <v>3.8400000000000007</v>
      </c>
      <c r="I34" t="s">
        <v>48</v>
      </c>
    </row>
    <row r="35" spans="1:9">
      <c r="A35" t="s">
        <v>735</v>
      </c>
      <c r="B35" t="s">
        <v>736</v>
      </c>
      <c r="C35">
        <f>$C$22</f>
        <v>42</v>
      </c>
      <c r="D35" t="s">
        <v>49</v>
      </c>
      <c r="F35" t="s">
        <v>737</v>
      </c>
      <c r="G35" t="s">
        <v>738</v>
      </c>
      <c r="H35" s="102">
        <f>C35*0.01*2500</f>
        <v>1050</v>
      </c>
      <c r="I35" t="s">
        <v>644</v>
      </c>
    </row>
    <row r="36" spans="1:9">
      <c r="H36" s="102"/>
    </row>
    <row r="37" spans="1:9">
      <c r="A37" s="2" t="s">
        <v>26</v>
      </c>
      <c r="B37" s="2" t="s">
        <v>96</v>
      </c>
      <c r="H37" s="101"/>
    </row>
    <row r="38" spans="1:9" ht="15.75" thickBot="1">
      <c r="B38" s="1" t="s">
        <v>1</v>
      </c>
      <c r="C38" s="1" t="s">
        <v>2</v>
      </c>
      <c r="D38" s="1" t="s">
        <v>3</v>
      </c>
      <c r="E38" s="1" t="s">
        <v>4</v>
      </c>
      <c r="F38" s="1" t="s">
        <v>616</v>
      </c>
      <c r="G38" s="1" t="s">
        <v>4</v>
      </c>
      <c r="H38" s="103" t="s">
        <v>643</v>
      </c>
      <c r="I38" s="1" t="s">
        <v>3</v>
      </c>
    </row>
    <row r="39" spans="1:9">
      <c r="A39" t="s">
        <v>37</v>
      </c>
      <c r="B39" t="s">
        <v>739</v>
      </c>
      <c r="C39">
        <v>6</v>
      </c>
      <c r="D39" t="s">
        <v>48</v>
      </c>
      <c r="F39" t="s">
        <v>733</v>
      </c>
      <c r="H39" s="101">
        <f>C39</f>
        <v>6</v>
      </c>
      <c r="I39" t="s">
        <v>48</v>
      </c>
    </row>
    <row r="40" spans="1:9">
      <c r="A40" t="s">
        <v>37</v>
      </c>
      <c r="B40" t="s">
        <v>740</v>
      </c>
      <c r="C40">
        <v>0.63400000000000001</v>
      </c>
      <c r="D40" t="s">
        <v>159</v>
      </c>
      <c r="F40" t="s">
        <v>620</v>
      </c>
      <c r="H40" s="101">
        <f>C40*1000</f>
        <v>634</v>
      </c>
      <c r="I40" t="s">
        <v>644</v>
      </c>
    </row>
    <row r="41" spans="1:9">
      <c r="A41" t="s">
        <v>38</v>
      </c>
      <c r="B41" t="s">
        <v>741</v>
      </c>
      <c r="C41">
        <v>3.79</v>
      </c>
      <c r="D41" t="s">
        <v>48</v>
      </c>
      <c r="F41" t="s">
        <v>790</v>
      </c>
      <c r="H41" s="102">
        <f>C41</f>
        <v>3.79</v>
      </c>
      <c r="I41" t="s">
        <v>48</v>
      </c>
    </row>
    <row r="42" spans="1:9">
      <c r="A42" t="s">
        <v>38</v>
      </c>
      <c r="B42" t="s">
        <v>742</v>
      </c>
      <c r="C42">
        <v>0.63400000000000001</v>
      </c>
      <c r="D42" t="s">
        <v>159</v>
      </c>
      <c r="F42" t="s">
        <v>620</v>
      </c>
      <c r="H42" s="101">
        <f>C42*1000</f>
        <v>634</v>
      </c>
      <c r="I42" t="s">
        <v>644</v>
      </c>
    </row>
    <row r="43" spans="1:9">
      <c r="A43" t="s">
        <v>39</v>
      </c>
      <c r="B43" t="s">
        <v>743</v>
      </c>
      <c r="C43">
        <f>$C$22*$C$18</f>
        <v>18.900000000000002</v>
      </c>
      <c r="D43" t="s">
        <v>48</v>
      </c>
      <c r="F43" t="s">
        <v>617</v>
      </c>
      <c r="H43" s="101">
        <f>C43</f>
        <v>18.900000000000002</v>
      </c>
      <c r="I43" t="s">
        <v>48</v>
      </c>
    </row>
    <row r="44" spans="1:9">
      <c r="A44" t="s">
        <v>39</v>
      </c>
      <c r="B44" t="s">
        <v>745</v>
      </c>
      <c r="C44" s="9">
        <f>C43*120/1000</f>
        <v>2.2680000000000002</v>
      </c>
      <c r="D44" t="s">
        <v>159</v>
      </c>
      <c r="E44" t="s">
        <v>746</v>
      </c>
      <c r="F44" t="s">
        <v>620</v>
      </c>
      <c r="H44" s="101">
        <f>C44*1000</f>
        <v>2268.0000000000005</v>
      </c>
      <c r="I44" t="s">
        <v>644</v>
      </c>
    </row>
    <row r="45" spans="1:9">
      <c r="A45" t="s">
        <v>39</v>
      </c>
      <c r="B45" t="s">
        <v>747</v>
      </c>
      <c r="C45" s="9">
        <f>C43*30/1000</f>
        <v>0.56700000000000006</v>
      </c>
      <c r="D45" t="s">
        <v>159</v>
      </c>
      <c r="E45" t="s">
        <v>748</v>
      </c>
      <c r="F45" t="s">
        <v>620</v>
      </c>
      <c r="H45" s="101">
        <f>C45*1000</f>
        <v>567.00000000000011</v>
      </c>
      <c r="I45" t="s">
        <v>644</v>
      </c>
    </row>
    <row r="46" spans="1:9">
      <c r="A46" t="s">
        <v>39</v>
      </c>
      <c r="B46" t="s">
        <v>731</v>
      </c>
      <c r="C46">
        <f>$C$9*2</f>
        <v>24</v>
      </c>
      <c r="D46" t="s">
        <v>102</v>
      </c>
      <c r="F46" t="s">
        <v>749</v>
      </c>
      <c r="H46" s="101">
        <f>C46</f>
        <v>24</v>
      </c>
      <c r="I46" t="s">
        <v>21</v>
      </c>
    </row>
    <row r="47" spans="1:9">
      <c r="A47" t="s">
        <v>39</v>
      </c>
      <c r="B47" t="s">
        <v>732</v>
      </c>
      <c r="C47">
        <f>$C$9*2</f>
        <v>24</v>
      </c>
      <c r="D47" t="s">
        <v>102</v>
      </c>
      <c r="F47" t="s">
        <v>733</v>
      </c>
      <c r="G47" t="s">
        <v>734</v>
      </c>
      <c r="H47" s="102">
        <f>C47*0.4*0.4</f>
        <v>3.8400000000000007</v>
      </c>
      <c r="I47" t="s">
        <v>48</v>
      </c>
    </row>
    <row r="48" spans="1:9">
      <c r="A48" t="s">
        <v>735</v>
      </c>
      <c r="B48" t="s">
        <v>750</v>
      </c>
      <c r="C48">
        <f>$C$24</f>
        <v>847</v>
      </c>
      <c r="D48" t="s">
        <v>49</v>
      </c>
      <c r="F48" t="s">
        <v>660</v>
      </c>
      <c r="G48" t="s">
        <v>751</v>
      </c>
      <c r="H48" s="102">
        <f>C48*0.04*2500</f>
        <v>84700</v>
      </c>
      <c r="I48" t="s">
        <v>644</v>
      </c>
    </row>
    <row r="49" spans="1:9">
      <c r="H49" s="102"/>
    </row>
    <row r="50" spans="1:9">
      <c r="A50" s="2" t="s">
        <v>26</v>
      </c>
      <c r="B50" s="2" t="s">
        <v>752</v>
      </c>
      <c r="H50" s="101"/>
    </row>
    <row r="51" spans="1:9" ht="15.75" thickBot="1">
      <c r="B51" s="1" t="s">
        <v>1</v>
      </c>
      <c r="C51" s="1" t="s">
        <v>2</v>
      </c>
      <c r="D51" s="1" t="s">
        <v>3</v>
      </c>
      <c r="E51" s="1" t="s">
        <v>4</v>
      </c>
      <c r="F51" s="1" t="s">
        <v>616</v>
      </c>
      <c r="G51" s="1" t="s">
        <v>4</v>
      </c>
      <c r="H51" s="103" t="s">
        <v>643</v>
      </c>
      <c r="I51" s="1" t="s">
        <v>3</v>
      </c>
    </row>
    <row r="52" spans="1:9">
      <c r="A52" t="s">
        <v>37</v>
      </c>
      <c r="B52" t="s">
        <v>739</v>
      </c>
      <c r="C52">
        <v>6</v>
      </c>
      <c r="D52" t="s">
        <v>48</v>
      </c>
      <c r="F52" t="s">
        <v>733</v>
      </c>
      <c r="H52" s="101">
        <f>C52</f>
        <v>6</v>
      </c>
      <c r="I52" t="s">
        <v>48</v>
      </c>
    </row>
    <row r="53" spans="1:9">
      <c r="A53" t="s">
        <v>37</v>
      </c>
      <c r="B53" t="s">
        <v>740</v>
      </c>
      <c r="C53">
        <v>0.63400000000000001</v>
      </c>
      <c r="D53" t="s">
        <v>159</v>
      </c>
      <c r="F53" t="s">
        <v>620</v>
      </c>
      <c r="H53" s="101">
        <f>C53*1000</f>
        <v>634</v>
      </c>
      <c r="I53" t="s">
        <v>644</v>
      </c>
    </row>
    <row r="54" spans="1:9">
      <c r="A54" t="s">
        <v>38</v>
      </c>
      <c r="B54" t="s">
        <v>741</v>
      </c>
      <c r="C54">
        <v>3.79</v>
      </c>
      <c r="D54" t="s">
        <v>48</v>
      </c>
      <c r="F54" t="s">
        <v>733</v>
      </c>
      <c r="H54" s="101">
        <f>C54</f>
        <v>3.79</v>
      </c>
      <c r="I54" t="s">
        <v>48</v>
      </c>
    </row>
    <row r="55" spans="1:9">
      <c r="A55" t="s">
        <v>38</v>
      </c>
      <c r="B55" t="s">
        <v>742</v>
      </c>
      <c r="C55">
        <v>0.63400000000000001</v>
      </c>
      <c r="D55" t="s">
        <v>159</v>
      </c>
      <c r="F55" t="s">
        <v>620</v>
      </c>
      <c r="H55" s="101">
        <f>C55*1000</f>
        <v>634</v>
      </c>
      <c r="I55" t="s">
        <v>644</v>
      </c>
    </row>
    <row r="56" spans="1:9">
      <c r="A56" t="s">
        <v>39</v>
      </c>
      <c r="B56" t="s">
        <v>753</v>
      </c>
      <c r="C56">
        <v>5.0999999999999996</v>
      </c>
      <c r="D56" t="s">
        <v>159</v>
      </c>
      <c r="F56" t="s">
        <v>683</v>
      </c>
      <c r="G56" t="s">
        <v>684</v>
      </c>
      <c r="H56" s="102">
        <f>C56*1000/125</f>
        <v>40.799999999999997</v>
      </c>
      <c r="I56" t="s">
        <v>21</v>
      </c>
    </row>
    <row r="57" spans="1:9">
      <c r="A57" t="s">
        <v>39</v>
      </c>
      <c r="B57" t="s">
        <v>731</v>
      </c>
      <c r="C57">
        <f>$C$9*2</f>
        <v>24</v>
      </c>
      <c r="D57" t="s">
        <v>102</v>
      </c>
      <c r="F57" t="s">
        <v>749</v>
      </c>
      <c r="H57" s="101">
        <f>C57</f>
        <v>24</v>
      </c>
      <c r="I57" t="s">
        <v>21</v>
      </c>
    </row>
    <row r="58" spans="1:9">
      <c r="A58" t="s">
        <v>39</v>
      </c>
      <c r="B58" t="s">
        <v>754</v>
      </c>
      <c r="C58">
        <v>2.52</v>
      </c>
      <c r="D58" t="s">
        <v>159</v>
      </c>
      <c r="F58" t="s">
        <v>683</v>
      </c>
      <c r="G58" t="s">
        <v>684</v>
      </c>
      <c r="H58" s="102">
        <f>C58*1000/125</f>
        <v>20.16</v>
      </c>
      <c r="I58" t="s">
        <v>21</v>
      </c>
    </row>
    <row r="59" spans="1:9">
      <c r="A59" t="s">
        <v>735</v>
      </c>
      <c r="B59" t="s">
        <v>736</v>
      </c>
      <c r="C59">
        <f>$C$24</f>
        <v>847</v>
      </c>
      <c r="D59" t="s">
        <v>49</v>
      </c>
      <c r="F59" t="s">
        <v>737</v>
      </c>
      <c r="G59" t="s">
        <v>738</v>
      </c>
      <c r="H59" s="102">
        <f>C59*0.01*2500</f>
        <v>21175</v>
      </c>
      <c r="I59" t="s">
        <v>644</v>
      </c>
    </row>
    <row r="60" spans="1:9">
      <c r="H60" s="101"/>
    </row>
    <row r="61" spans="1:9">
      <c r="A61" s="2" t="s">
        <v>26</v>
      </c>
      <c r="B61" s="2" t="s">
        <v>755</v>
      </c>
      <c r="H61" s="101"/>
    </row>
    <row r="62" spans="1:9" ht="15.75" thickBot="1">
      <c r="B62" s="1" t="s">
        <v>1</v>
      </c>
      <c r="C62" s="1" t="s">
        <v>2</v>
      </c>
      <c r="D62" s="1" t="s">
        <v>3</v>
      </c>
      <c r="E62" s="1" t="s">
        <v>4</v>
      </c>
      <c r="F62" s="1" t="s">
        <v>616</v>
      </c>
      <c r="G62" s="1" t="s">
        <v>4</v>
      </c>
      <c r="H62" s="103" t="s">
        <v>643</v>
      </c>
      <c r="I62" s="1" t="s">
        <v>3</v>
      </c>
    </row>
    <row r="63" spans="1:9">
      <c r="A63" t="s">
        <v>37</v>
      </c>
      <c r="B63" t="s">
        <v>739</v>
      </c>
      <c r="C63">
        <v>2.71</v>
      </c>
      <c r="D63" t="s">
        <v>48</v>
      </c>
      <c r="F63" t="s">
        <v>733</v>
      </c>
      <c r="H63" s="101">
        <f>C63</f>
        <v>2.71</v>
      </c>
      <c r="I63" t="s">
        <v>48</v>
      </c>
    </row>
    <row r="64" spans="1:9">
      <c r="A64" t="s">
        <v>37</v>
      </c>
      <c r="B64" t="s">
        <v>740</v>
      </c>
      <c r="C64">
        <v>0.20499999999999999</v>
      </c>
      <c r="D64" t="s">
        <v>159</v>
      </c>
      <c r="F64" t="s">
        <v>620</v>
      </c>
      <c r="H64" s="101">
        <f>C64*1000</f>
        <v>205</v>
      </c>
      <c r="I64" t="s">
        <v>644</v>
      </c>
    </row>
    <row r="65" spans="1:9">
      <c r="A65" t="s">
        <v>38</v>
      </c>
      <c r="B65" t="s">
        <v>741</v>
      </c>
      <c r="C65">
        <v>1.04</v>
      </c>
      <c r="D65" t="s">
        <v>48</v>
      </c>
      <c r="F65" t="s">
        <v>733</v>
      </c>
      <c r="H65" s="102">
        <f>C65</f>
        <v>1.04</v>
      </c>
      <c r="I65" t="s">
        <v>48</v>
      </c>
    </row>
    <row r="66" spans="1:9">
      <c r="A66" t="s">
        <v>38</v>
      </c>
      <c r="B66" t="s">
        <v>742</v>
      </c>
      <c r="C66">
        <v>7.0999999999999994E-2</v>
      </c>
      <c r="D66" t="s">
        <v>159</v>
      </c>
      <c r="F66" t="s">
        <v>620</v>
      </c>
      <c r="H66" s="102">
        <f>C66*1000</f>
        <v>71</v>
      </c>
      <c r="I66" t="s">
        <v>644</v>
      </c>
    </row>
    <row r="67" spans="1:9">
      <c r="A67" t="s">
        <v>39</v>
      </c>
      <c r="B67" t="s">
        <v>756</v>
      </c>
      <c r="C67">
        <v>12.75</v>
      </c>
      <c r="D67" t="s">
        <v>159</v>
      </c>
      <c r="F67" t="s">
        <v>757</v>
      </c>
      <c r="G67" t="s">
        <v>758</v>
      </c>
      <c r="H67" s="102">
        <f>C67/(1.06*0.0284)</f>
        <v>423.53175657719902</v>
      </c>
      <c r="I67" t="s">
        <v>21</v>
      </c>
    </row>
    <row r="68" spans="1:9">
      <c r="A68" t="s">
        <v>39</v>
      </c>
      <c r="B68" t="s">
        <v>759</v>
      </c>
      <c r="C68">
        <v>4.7E-2</v>
      </c>
      <c r="D68" t="s">
        <v>159</v>
      </c>
      <c r="F68" t="s">
        <v>683</v>
      </c>
      <c r="G68" t="s">
        <v>684</v>
      </c>
      <c r="H68" s="102">
        <f>C68*1000/125</f>
        <v>0.376</v>
      </c>
      <c r="I68" t="s">
        <v>21</v>
      </c>
    </row>
    <row r="69" spans="1:9">
      <c r="A69" t="s">
        <v>39</v>
      </c>
      <c r="B69" t="s">
        <v>731</v>
      </c>
      <c r="C69">
        <f>$C$9*2</f>
        <v>24</v>
      </c>
      <c r="D69" t="s">
        <v>102</v>
      </c>
      <c r="F69" t="s">
        <v>749</v>
      </c>
      <c r="H69" s="102">
        <f>C69</f>
        <v>24</v>
      </c>
      <c r="I69" t="s">
        <v>21</v>
      </c>
    </row>
    <row r="70" spans="1:9">
      <c r="A70" t="s">
        <v>39</v>
      </c>
      <c r="B70" t="s">
        <v>732</v>
      </c>
      <c r="C70">
        <f>$C$9*2</f>
        <v>24</v>
      </c>
      <c r="D70" t="s">
        <v>102</v>
      </c>
      <c r="F70" t="s">
        <v>757</v>
      </c>
      <c r="G70" t="s">
        <v>758</v>
      </c>
      <c r="H70" s="102">
        <f>C70</f>
        <v>24</v>
      </c>
      <c r="I70" t="s">
        <v>21</v>
      </c>
    </row>
    <row r="71" spans="1:9">
      <c r="A71" t="s">
        <v>735</v>
      </c>
      <c r="B71" t="s">
        <v>736</v>
      </c>
      <c r="C71">
        <f>$C$24</f>
        <v>847</v>
      </c>
      <c r="D71" t="s">
        <v>49</v>
      </c>
      <c r="F71" t="s">
        <v>737</v>
      </c>
      <c r="G71" t="s">
        <v>738</v>
      </c>
      <c r="H71" s="102">
        <f>C71*0.01*2500</f>
        <v>21175</v>
      </c>
      <c r="I71" t="s">
        <v>644</v>
      </c>
    </row>
    <row r="72" spans="1:9">
      <c r="H72" s="101"/>
    </row>
  </sheetData>
  <pageMargins left="0.7" right="0.7" top="0.75" bottom="0.75" header="0.3" footer="0.3"/>
  <pageSetup paperSize="9" orientation="portrait" horizontalDpi="300" verticalDpi="30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I67"/>
  <sheetViews>
    <sheetView topLeftCell="A40" zoomScale="70" zoomScaleNormal="70" workbookViewId="0"/>
  </sheetViews>
  <sheetFormatPr defaultRowHeight="15"/>
  <cols>
    <col min="1" max="1" width="27.85546875" customWidth="1"/>
    <col min="2" max="2" width="52.85546875" bestFit="1" customWidth="1"/>
    <col min="3" max="3" width="10" bestFit="1" customWidth="1"/>
    <col min="4" max="4" width="12.5703125" customWidth="1"/>
    <col min="5" max="5" width="19.28515625" bestFit="1" customWidth="1"/>
    <col min="6" max="6" width="58.28515625" bestFit="1" customWidth="1"/>
    <col min="7" max="7" width="29.140625" bestFit="1" customWidth="1"/>
    <col min="8" max="8" width="17.28515625" bestFit="1" customWidth="1"/>
    <col min="9" max="9" width="11" bestFit="1" customWidth="1"/>
  </cols>
  <sheetData>
    <row r="1" spans="1:5">
      <c r="A1" s="105" t="s">
        <v>708</v>
      </c>
    </row>
    <row r="2" spans="1:5" ht="15.75" thickBot="1">
      <c r="B2" s="1" t="s">
        <v>1</v>
      </c>
      <c r="C2" s="1" t="s">
        <v>4</v>
      </c>
    </row>
    <row r="3" spans="1:5">
      <c r="B3" s="86" t="s">
        <v>709</v>
      </c>
      <c r="C3" s="86" t="s">
        <v>791</v>
      </c>
    </row>
    <row r="4" spans="1:5">
      <c r="B4" s="86" t="s">
        <v>711</v>
      </c>
      <c r="C4" s="86" t="s">
        <v>712</v>
      </c>
    </row>
    <row r="5" spans="1:5">
      <c r="B5" s="86" t="s">
        <v>713</v>
      </c>
    </row>
    <row r="7" spans="1:5">
      <c r="A7" s="2" t="s">
        <v>0</v>
      </c>
    </row>
    <row r="8" spans="1:5" ht="15.75" thickBot="1">
      <c r="B8" s="1" t="s">
        <v>1</v>
      </c>
      <c r="C8" s="1" t="s">
        <v>2</v>
      </c>
      <c r="D8" s="1" t="s">
        <v>3</v>
      </c>
      <c r="E8" s="1" t="s">
        <v>4</v>
      </c>
    </row>
    <row r="9" spans="1:5">
      <c r="B9" t="s">
        <v>715</v>
      </c>
      <c r="C9">
        <v>40</v>
      </c>
      <c r="D9" t="s">
        <v>21</v>
      </c>
    </row>
    <row r="11" spans="1:5">
      <c r="A11" s="2" t="s">
        <v>11</v>
      </c>
    </row>
    <row r="12" spans="1:5" ht="15.75" thickBot="1">
      <c r="B12" s="100" t="s">
        <v>1</v>
      </c>
      <c r="C12" s="100" t="s">
        <v>2</v>
      </c>
      <c r="D12" s="100" t="s">
        <v>3</v>
      </c>
      <c r="E12" s="1" t="s">
        <v>4</v>
      </c>
    </row>
    <row r="13" spans="1:5">
      <c r="B13" t="s">
        <v>716</v>
      </c>
      <c r="C13">
        <v>115</v>
      </c>
      <c r="D13" t="s">
        <v>21</v>
      </c>
    </row>
    <row r="14" spans="1:5">
      <c r="B14" t="s">
        <v>717</v>
      </c>
      <c r="C14">
        <v>2</v>
      </c>
      <c r="D14" t="s">
        <v>487</v>
      </c>
    </row>
    <row r="15" spans="1:5">
      <c r="B15" t="s">
        <v>486</v>
      </c>
      <c r="C15">
        <v>2</v>
      </c>
      <c r="D15" t="s">
        <v>487</v>
      </c>
    </row>
    <row r="16" spans="1:5">
      <c r="B16" t="s">
        <v>25</v>
      </c>
      <c r="C16">
        <v>0</v>
      </c>
      <c r="D16" t="s">
        <v>487</v>
      </c>
    </row>
    <row r="17" spans="1:9">
      <c r="B17" t="s">
        <v>523</v>
      </c>
      <c r="C17">
        <v>5</v>
      </c>
      <c r="D17" t="s">
        <v>21</v>
      </c>
    </row>
    <row r="18" spans="1:9">
      <c r="B18" t="s">
        <v>718</v>
      </c>
      <c r="C18">
        <v>1.4</v>
      </c>
      <c r="D18" t="s">
        <v>21</v>
      </c>
    </row>
    <row r="20" spans="1:9">
      <c r="A20" s="2" t="s">
        <v>136</v>
      </c>
    </row>
    <row r="21" spans="1:9">
      <c r="B21" t="s">
        <v>719</v>
      </c>
      <c r="C21">
        <f>C14*C13+C9</f>
        <v>270</v>
      </c>
      <c r="D21" t="s">
        <v>21</v>
      </c>
    </row>
    <row r="22" spans="1:9">
      <c r="B22" t="s">
        <v>720</v>
      </c>
      <c r="C22">
        <f>C17*C9</f>
        <v>200</v>
      </c>
      <c r="D22" t="s">
        <v>49</v>
      </c>
    </row>
    <row r="23" spans="1:9">
      <c r="B23" t="s">
        <v>721</v>
      </c>
      <c r="C23">
        <f>C14*C13*C17</f>
        <v>1150</v>
      </c>
      <c r="D23" t="s">
        <v>49</v>
      </c>
    </row>
    <row r="24" spans="1:9">
      <c r="B24" t="s">
        <v>722</v>
      </c>
      <c r="C24">
        <f>C22+C23</f>
        <v>1350</v>
      </c>
      <c r="D24" t="s">
        <v>49</v>
      </c>
    </row>
    <row r="26" spans="1:9">
      <c r="A26" s="2" t="s">
        <v>26</v>
      </c>
      <c r="B26" s="2" t="s">
        <v>96</v>
      </c>
    </row>
    <row r="27" spans="1:9" ht="15.75" thickBot="1">
      <c r="B27" s="1" t="s">
        <v>1</v>
      </c>
      <c r="C27" s="1" t="s">
        <v>2</v>
      </c>
      <c r="D27" s="1" t="s">
        <v>3</v>
      </c>
      <c r="E27" s="1" t="s">
        <v>4</v>
      </c>
      <c r="F27" s="1" t="s">
        <v>616</v>
      </c>
      <c r="G27" s="1" t="s">
        <v>4</v>
      </c>
      <c r="H27" s="1" t="s">
        <v>643</v>
      </c>
      <c r="I27" s="1" t="s">
        <v>3</v>
      </c>
    </row>
    <row r="28" spans="1:9">
      <c r="A28" t="s">
        <v>37</v>
      </c>
      <c r="B28" t="s">
        <v>739</v>
      </c>
      <c r="C28">
        <v>24.3</v>
      </c>
      <c r="D28" t="s">
        <v>48</v>
      </c>
      <c r="F28" t="s">
        <v>733</v>
      </c>
      <c r="H28" s="101">
        <f>C28</f>
        <v>24.3</v>
      </c>
      <c r="I28" t="s">
        <v>48</v>
      </c>
    </row>
    <row r="29" spans="1:9">
      <c r="A29" t="s">
        <v>37</v>
      </c>
      <c r="B29" t="s">
        <v>740</v>
      </c>
      <c r="C29">
        <v>2.23</v>
      </c>
      <c r="D29" t="s">
        <v>159</v>
      </c>
      <c r="F29" t="s">
        <v>620</v>
      </c>
      <c r="H29" s="101">
        <f>C29*1000</f>
        <v>2230</v>
      </c>
      <c r="I29" t="s">
        <v>644</v>
      </c>
    </row>
    <row r="30" spans="1:9">
      <c r="A30" t="s">
        <v>38</v>
      </c>
      <c r="B30" t="s">
        <v>741</v>
      </c>
      <c r="C30">
        <v>28.08</v>
      </c>
      <c r="D30" t="s">
        <v>48</v>
      </c>
      <c r="F30" t="s">
        <v>733</v>
      </c>
      <c r="H30" s="102">
        <f>C30</f>
        <v>28.08</v>
      </c>
      <c r="I30" t="s">
        <v>48</v>
      </c>
    </row>
    <row r="31" spans="1:9">
      <c r="A31" t="s">
        <v>38</v>
      </c>
      <c r="B31" t="s">
        <v>742</v>
      </c>
      <c r="C31">
        <v>6.18</v>
      </c>
      <c r="D31" t="s">
        <v>159</v>
      </c>
      <c r="F31" t="s">
        <v>620</v>
      </c>
      <c r="H31" s="101">
        <f>C31*1000</f>
        <v>6180</v>
      </c>
      <c r="I31" t="s">
        <v>644</v>
      </c>
    </row>
    <row r="32" spans="1:9">
      <c r="A32" t="s">
        <v>39</v>
      </c>
      <c r="B32" t="s">
        <v>743</v>
      </c>
      <c r="C32">
        <f>$C$22*$C$18</f>
        <v>280</v>
      </c>
      <c r="D32" t="s">
        <v>48</v>
      </c>
      <c r="F32" t="s">
        <v>617</v>
      </c>
      <c r="H32" s="101">
        <f>C32</f>
        <v>280</v>
      </c>
      <c r="I32" t="s">
        <v>48</v>
      </c>
    </row>
    <row r="33" spans="1:9">
      <c r="A33" t="s">
        <v>39</v>
      </c>
      <c r="B33" t="s">
        <v>745</v>
      </c>
      <c r="C33">
        <f>C32*100/1000</f>
        <v>28</v>
      </c>
      <c r="D33" t="s">
        <v>159</v>
      </c>
      <c r="E33" t="s">
        <v>761</v>
      </c>
      <c r="F33" t="s">
        <v>620</v>
      </c>
      <c r="H33" s="101">
        <f>C33*1000</f>
        <v>28000</v>
      </c>
      <c r="I33" t="s">
        <v>644</v>
      </c>
    </row>
    <row r="34" spans="1:9">
      <c r="A34" t="s">
        <v>39</v>
      </c>
      <c r="B34" t="s">
        <v>747</v>
      </c>
      <c r="C34">
        <f>C32*30/1000</f>
        <v>8.4</v>
      </c>
      <c r="D34" t="s">
        <v>159</v>
      </c>
      <c r="E34" t="s">
        <v>748</v>
      </c>
      <c r="F34" t="s">
        <v>620</v>
      </c>
      <c r="H34" s="101">
        <f>C34*1000</f>
        <v>8400</v>
      </c>
      <c r="I34" t="s">
        <v>644</v>
      </c>
    </row>
    <row r="35" spans="1:9">
      <c r="A35" t="s">
        <v>39</v>
      </c>
      <c r="B35" t="s">
        <v>731</v>
      </c>
      <c r="C35">
        <f>$C$9*2</f>
        <v>80</v>
      </c>
      <c r="D35" t="s">
        <v>102</v>
      </c>
      <c r="F35" t="s">
        <v>749</v>
      </c>
      <c r="H35" s="101">
        <f>C35</f>
        <v>80</v>
      </c>
      <c r="I35" t="s">
        <v>21</v>
      </c>
    </row>
    <row r="36" spans="1:9">
      <c r="A36" t="s">
        <v>39</v>
      </c>
      <c r="B36" t="s">
        <v>732</v>
      </c>
      <c r="C36">
        <f>$C$9*2</f>
        <v>80</v>
      </c>
      <c r="D36" t="s">
        <v>102</v>
      </c>
      <c r="F36" t="s">
        <v>733</v>
      </c>
      <c r="G36" t="s">
        <v>734</v>
      </c>
      <c r="H36" s="102">
        <f>C36*0.4*0.4</f>
        <v>12.8</v>
      </c>
      <c r="I36" t="s">
        <v>48</v>
      </c>
    </row>
    <row r="37" spans="1:9">
      <c r="A37" t="s">
        <v>735</v>
      </c>
      <c r="B37" t="s">
        <v>750</v>
      </c>
      <c r="C37">
        <f>$C$24</f>
        <v>1350</v>
      </c>
      <c r="D37" t="s">
        <v>49</v>
      </c>
      <c r="F37" t="s">
        <v>660</v>
      </c>
      <c r="G37" t="s">
        <v>751</v>
      </c>
      <c r="H37" s="101">
        <f>C37*0.04*2500</f>
        <v>135000</v>
      </c>
      <c r="I37" t="s">
        <v>644</v>
      </c>
    </row>
    <row r="38" spans="1:9">
      <c r="A38" t="s">
        <v>762</v>
      </c>
      <c r="B38" t="s">
        <v>763</v>
      </c>
      <c r="C38">
        <v>4.91</v>
      </c>
      <c r="D38" t="s">
        <v>48</v>
      </c>
      <c r="F38" t="s">
        <v>733</v>
      </c>
      <c r="H38" s="102">
        <f>C38</f>
        <v>4.91</v>
      </c>
      <c r="I38" t="s">
        <v>48</v>
      </c>
    </row>
    <row r="39" spans="1:9">
      <c r="A39" t="s">
        <v>610</v>
      </c>
      <c r="B39" t="s">
        <v>764</v>
      </c>
      <c r="C39">
        <f>$C$9/10</f>
        <v>4</v>
      </c>
      <c r="D39" t="s">
        <v>487</v>
      </c>
      <c r="F39" t="s">
        <v>765</v>
      </c>
      <c r="G39" t="s">
        <v>766</v>
      </c>
      <c r="H39" s="102">
        <f>C39</f>
        <v>4</v>
      </c>
      <c r="I39" t="s">
        <v>487</v>
      </c>
    </row>
    <row r="40" spans="1:9">
      <c r="H40" s="101"/>
    </row>
    <row r="41" spans="1:9">
      <c r="A41" s="2" t="s">
        <v>26</v>
      </c>
      <c r="B41" s="2" t="s">
        <v>752</v>
      </c>
      <c r="H41" s="101"/>
    </row>
    <row r="42" spans="1:9" ht="15.75" thickBot="1">
      <c r="B42" s="1" t="s">
        <v>1</v>
      </c>
      <c r="C42" s="1" t="s">
        <v>2</v>
      </c>
      <c r="D42" s="1" t="s">
        <v>3</v>
      </c>
      <c r="E42" s="1" t="s">
        <v>4</v>
      </c>
      <c r="F42" s="1" t="s">
        <v>616</v>
      </c>
      <c r="G42" s="1" t="s">
        <v>4</v>
      </c>
      <c r="H42" s="103" t="s">
        <v>643</v>
      </c>
      <c r="I42" s="1" t="s">
        <v>3</v>
      </c>
    </row>
    <row r="43" spans="1:9">
      <c r="A43" t="s">
        <v>37</v>
      </c>
      <c r="B43" t="s">
        <v>739</v>
      </c>
      <c r="C43">
        <v>24.3</v>
      </c>
      <c r="D43" t="s">
        <v>48</v>
      </c>
      <c r="F43" t="s">
        <v>733</v>
      </c>
      <c r="H43" s="101">
        <f>C43</f>
        <v>24.3</v>
      </c>
      <c r="I43" t="s">
        <v>48</v>
      </c>
    </row>
    <row r="44" spans="1:9">
      <c r="A44" t="s">
        <v>37</v>
      </c>
      <c r="B44" t="s">
        <v>740</v>
      </c>
      <c r="C44">
        <v>2.23</v>
      </c>
      <c r="D44" t="s">
        <v>159</v>
      </c>
      <c r="F44" t="s">
        <v>620</v>
      </c>
      <c r="H44" s="101">
        <f>C44*1000</f>
        <v>2230</v>
      </c>
      <c r="I44" t="s">
        <v>644</v>
      </c>
    </row>
    <row r="45" spans="1:9">
      <c r="A45" t="s">
        <v>38</v>
      </c>
      <c r="B45" t="s">
        <v>741</v>
      </c>
      <c r="C45">
        <v>28.08</v>
      </c>
      <c r="D45" t="s">
        <v>48</v>
      </c>
      <c r="F45" t="s">
        <v>733</v>
      </c>
      <c r="H45" s="101">
        <f>C45</f>
        <v>28.08</v>
      </c>
      <c r="I45" t="s">
        <v>48</v>
      </c>
    </row>
    <row r="46" spans="1:9">
      <c r="A46" t="s">
        <v>38</v>
      </c>
      <c r="B46" t="s">
        <v>742</v>
      </c>
      <c r="C46">
        <v>6.18</v>
      </c>
      <c r="D46" t="s">
        <v>159</v>
      </c>
      <c r="F46" t="s">
        <v>620</v>
      </c>
      <c r="H46" s="101">
        <f>C46*1000</f>
        <v>6180</v>
      </c>
      <c r="I46" t="s">
        <v>644</v>
      </c>
    </row>
    <row r="47" spans="1:9">
      <c r="A47" t="s">
        <v>39</v>
      </c>
      <c r="B47" t="s">
        <v>753</v>
      </c>
      <c r="C47">
        <v>8.5</v>
      </c>
      <c r="D47" t="s">
        <v>159</v>
      </c>
      <c r="F47" t="s">
        <v>683</v>
      </c>
      <c r="G47" t="s">
        <v>684</v>
      </c>
      <c r="H47" s="102">
        <f>C47*1000/125</f>
        <v>68</v>
      </c>
      <c r="I47" t="s">
        <v>21</v>
      </c>
    </row>
    <row r="48" spans="1:9">
      <c r="A48" t="s">
        <v>39</v>
      </c>
      <c r="B48" t="s">
        <v>767</v>
      </c>
      <c r="C48">
        <v>7.6</v>
      </c>
      <c r="D48" t="s">
        <v>159</v>
      </c>
      <c r="F48" t="s">
        <v>683</v>
      </c>
      <c r="G48" t="s">
        <v>684</v>
      </c>
      <c r="H48" s="102">
        <f>C48*1000/125</f>
        <v>60.8</v>
      </c>
      <c r="I48" t="s">
        <v>21</v>
      </c>
    </row>
    <row r="49" spans="1:9">
      <c r="A49" t="s">
        <v>39</v>
      </c>
      <c r="B49" t="s">
        <v>731</v>
      </c>
      <c r="C49">
        <f>$C$9*2</f>
        <v>80</v>
      </c>
      <c r="D49" t="s">
        <v>102</v>
      </c>
      <c r="F49" t="s">
        <v>749</v>
      </c>
      <c r="H49" s="101">
        <f>C49</f>
        <v>80</v>
      </c>
      <c r="I49" t="s">
        <v>21</v>
      </c>
    </row>
    <row r="50" spans="1:9">
      <c r="A50" t="s">
        <v>39</v>
      </c>
      <c r="B50" t="s">
        <v>732</v>
      </c>
      <c r="C50">
        <f>$C$9*2</f>
        <v>80</v>
      </c>
      <c r="D50" t="s">
        <v>102</v>
      </c>
      <c r="F50" t="s">
        <v>733</v>
      </c>
      <c r="G50" t="s">
        <v>734</v>
      </c>
      <c r="H50" s="102">
        <f>C50*0.4*0.4</f>
        <v>12.8</v>
      </c>
      <c r="I50" t="s">
        <v>48</v>
      </c>
    </row>
    <row r="51" spans="1:9">
      <c r="A51" t="s">
        <v>735</v>
      </c>
      <c r="B51" t="s">
        <v>736</v>
      </c>
      <c r="C51">
        <f>$C$24</f>
        <v>1350</v>
      </c>
      <c r="D51" t="s">
        <v>49</v>
      </c>
      <c r="F51" t="s">
        <v>737</v>
      </c>
      <c r="G51" t="s">
        <v>738</v>
      </c>
      <c r="H51" s="102">
        <f>C51*0.01*2500</f>
        <v>33750</v>
      </c>
      <c r="I51" t="s">
        <v>644</v>
      </c>
    </row>
    <row r="52" spans="1:9">
      <c r="A52" t="s">
        <v>762</v>
      </c>
      <c r="B52" t="s">
        <v>763</v>
      </c>
      <c r="C52">
        <v>4.91</v>
      </c>
      <c r="D52" t="s">
        <v>48</v>
      </c>
      <c r="F52" t="s">
        <v>733</v>
      </c>
      <c r="H52" s="101">
        <f>C52</f>
        <v>4.91</v>
      </c>
      <c r="I52" t="s">
        <v>48</v>
      </c>
    </row>
    <row r="53" spans="1:9">
      <c r="A53" t="s">
        <v>610</v>
      </c>
      <c r="B53" t="s">
        <v>764</v>
      </c>
      <c r="C53">
        <f>$C$9/10</f>
        <v>4</v>
      </c>
      <c r="D53" t="s">
        <v>487</v>
      </c>
      <c r="F53" t="s">
        <v>765</v>
      </c>
      <c r="G53" t="s">
        <v>766</v>
      </c>
      <c r="H53" s="102">
        <f>C53</f>
        <v>4</v>
      </c>
      <c r="I53" t="s">
        <v>487</v>
      </c>
    </row>
    <row r="54" spans="1:9">
      <c r="H54" s="101"/>
    </row>
    <row r="55" spans="1:9">
      <c r="A55" s="2" t="s">
        <v>26</v>
      </c>
      <c r="B55" s="2" t="s">
        <v>755</v>
      </c>
      <c r="H55" s="101"/>
    </row>
    <row r="56" spans="1:9" ht="15.75" thickBot="1">
      <c r="B56" s="1" t="s">
        <v>1</v>
      </c>
      <c r="C56" s="1" t="s">
        <v>2</v>
      </c>
      <c r="D56" s="1" t="s">
        <v>3</v>
      </c>
      <c r="E56" s="1" t="s">
        <v>4</v>
      </c>
      <c r="F56" s="1" t="s">
        <v>616</v>
      </c>
      <c r="G56" s="1" t="s">
        <v>4</v>
      </c>
      <c r="H56" s="103" t="s">
        <v>643</v>
      </c>
      <c r="I56" s="1" t="s">
        <v>3</v>
      </c>
    </row>
    <row r="57" spans="1:9">
      <c r="A57" t="s">
        <v>37</v>
      </c>
      <c r="B57" t="s">
        <v>739</v>
      </c>
      <c r="C57">
        <v>24.3</v>
      </c>
      <c r="D57" t="s">
        <v>48</v>
      </c>
      <c r="F57" t="s">
        <v>733</v>
      </c>
      <c r="H57" s="101">
        <f>C57</f>
        <v>24.3</v>
      </c>
      <c r="I57" t="s">
        <v>48</v>
      </c>
    </row>
    <row r="58" spans="1:9">
      <c r="A58" t="s">
        <v>37</v>
      </c>
      <c r="B58" t="s">
        <v>740</v>
      </c>
      <c r="C58">
        <v>2.23</v>
      </c>
      <c r="D58" t="s">
        <v>159</v>
      </c>
      <c r="F58" t="s">
        <v>620</v>
      </c>
      <c r="H58" s="101">
        <f>C58*1000</f>
        <v>2230</v>
      </c>
      <c r="I58" t="s">
        <v>644</v>
      </c>
    </row>
    <row r="59" spans="1:9">
      <c r="A59" t="s">
        <v>38</v>
      </c>
      <c r="B59" t="s">
        <v>741</v>
      </c>
      <c r="C59">
        <v>28.08</v>
      </c>
      <c r="D59" t="s">
        <v>48</v>
      </c>
      <c r="F59" t="s">
        <v>733</v>
      </c>
      <c r="H59" s="101">
        <f>C59</f>
        <v>28.08</v>
      </c>
      <c r="I59" t="s">
        <v>48</v>
      </c>
    </row>
    <row r="60" spans="1:9">
      <c r="A60" t="s">
        <v>38</v>
      </c>
      <c r="B60" t="s">
        <v>742</v>
      </c>
      <c r="C60">
        <v>6.18</v>
      </c>
      <c r="D60" t="s">
        <v>159</v>
      </c>
      <c r="F60" t="s">
        <v>620</v>
      </c>
      <c r="H60" s="102">
        <f>C60*1000</f>
        <v>6180</v>
      </c>
      <c r="I60" t="s">
        <v>644</v>
      </c>
    </row>
    <row r="61" spans="1:9">
      <c r="A61" t="s">
        <v>39</v>
      </c>
      <c r="B61" t="s">
        <v>756</v>
      </c>
      <c r="C61">
        <v>24</v>
      </c>
      <c r="D61" t="s">
        <v>159</v>
      </c>
      <c r="F61" t="s">
        <v>757</v>
      </c>
      <c r="G61" t="s">
        <v>758</v>
      </c>
      <c r="H61" s="102">
        <f>C61/(1.06*0.0284)</f>
        <v>797.23624767472757</v>
      </c>
      <c r="I61" t="s">
        <v>21</v>
      </c>
    </row>
    <row r="62" spans="1:9">
      <c r="A62" t="s">
        <v>39</v>
      </c>
      <c r="B62" t="s">
        <v>759</v>
      </c>
      <c r="C62">
        <v>0.1</v>
      </c>
      <c r="D62" t="s">
        <v>159</v>
      </c>
      <c r="F62" t="s">
        <v>683</v>
      </c>
      <c r="G62" t="s">
        <v>684</v>
      </c>
      <c r="H62" s="102">
        <f>C62*1000/125</f>
        <v>0.8</v>
      </c>
      <c r="I62" t="s">
        <v>21</v>
      </c>
    </row>
    <row r="63" spans="1:9">
      <c r="A63" t="s">
        <v>39</v>
      </c>
      <c r="B63" t="s">
        <v>731</v>
      </c>
      <c r="C63">
        <f>$C$9*2</f>
        <v>80</v>
      </c>
      <c r="D63" t="s">
        <v>102</v>
      </c>
      <c r="F63" t="s">
        <v>749</v>
      </c>
      <c r="H63" s="102">
        <f>C63</f>
        <v>80</v>
      </c>
      <c r="I63" t="s">
        <v>21</v>
      </c>
    </row>
    <row r="64" spans="1:9">
      <c r="A64" t="s">
        <v>39</v>
      </c>
      <c r="B64" t="s">
        <v>732</v>
      </c>
      <c r="C64">
        <f>$C$9*2</f>
        <v>80</v>
      </c>
      <c r="D64" t="s">
        <v>102</v>
      </c>
      <c r="F64" t="s">
        <v>757</v>
      </c>
      <c r="G64" t="s">
        <v>758</v>
      </c>
      <c r="H64" s="102">
        <f>C64</f>
        <v>80</v>
      </c>
      <c r="I64" t="s">
        <v>21</v>
      </c>
    </row>
    <row r="65" spans="1:9">
      <c r="A65" t="s">
        <v>735</v>
      </c>
      <c r="B65" t="s">
        <v>736</v>
      </c>
      <c r="C65">
        <f>$C$24</f>
        <v>1350</v>
      </c>
      <c r="D65" t="s">
        <v>49</v>
      </c>
      <c r="F65" t="s">
        <v>737</v>
      </c>
      <c r="G65" t="s">
        <v>738</v>
      </c>
      <c r="H65" s="102">
        <f>C65*0.01*2500</f>
        <v>33750</v>
      </c>
      <c r="I65" t="s">
        <v>644</v>
      </c>
    </row>
    <row r="66" spans="1:9">
      <c r="A66" t="s">
        <v>762</v>
      </c>
      <c r="B66" t="s">
        <v>763</v>
      </c>
      <c r="C66">
        <v>4.91</v>
      </c>
      <c r="D66" t="s">
        <v>48</v>
      </c>
      <c r="F66" t="s">
        <v>733</v>
      </c>
      <c r="H66" s="101">
        <f>C66</f>
        <v>4.91</v>
      </c>
      <c r="I66" t="s">
        <v>48</v>
      </c>
    </row>
    <row r="67" spans="1:9">
      <c r="A67" t="s">
        <v>610</v>
      </c>
      <c r="B67" t="s">
        <v>764</v>
      </c>
      <c r="C67">
        <f>$C$9/10</f>
        <v>4</v>
      </c>
      <c r="D67" t="s">
        <v>487</v>
      </c>
      <c r="F67" t="s">
        <v>765</v>
      </c>
      <c r="G67" t="s">
        <v>766</v>
      </c>
      <c r="H67" s="102">
        <f>C67</f>
        <v>4</v>
      </c>
      <c r="I67" t="s">
        <v>487</v>
      </c>
    </row>
  </sheetData>
  <pageMargins left="0.7" right="0.7" top="0.75" bottom="0.75" header="0.3" footer="0.3"/>
  <pageSetup paperSize="9" orientation="portrait" horizontalDpi="300" verticalDpi="30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I73"/>
  <sheetViews>
    <sheetView topLeftCell="A49" zoomScale="70" zoomScaleNormal="70" workbookViewId="0"/>
  </sheetViews>
  <sheetFormatPr defaultRowHeight="15"/>
  <cols>
    <col min="1" max="1" width="29.140625" customWidth="1"/>
    <col min="2" max="2" width="52.85546875" bestFit="1" customWidth="1"/>
    <col min="3" max="3" width="9.140625" bestFit="1" customWidth="1"/>
    <col min="4" max="4" width="11" bestFit="1" customWidth="1"/>
    <col min="5" max="5" width="32" bestFit="1" customWidth="1"/>
    <col min="6" max="6" width="58.28515625" bestFit="1" customWidth="1"/>
    <col min="7" max="7" width="23.42578125" bestFit="1" customWidth="1"/>
    <col min="8" max="8" width="17.28515625" bestFit="1" customWidth="1"/>
    <col min="9" max="9" width="11" bestFit="1" customWidth="1"/>
  </cols>
  <sheetData>
    <row r="1" spans="1:5">
      <c r="A1" s="105" t="s">
        <v>708</v>
      </c>
    </row>
    <row r="2" spans="1:5" ht="15.75" thickBot="1">
      <c r="B2" s="1" t="s">
        <v>1</v>
      </c>
      <c r="C2" s="1" t="s">
        <v>4</v>
      </c>
    </row>
    <row r="3" spans="1:5">
      <c r="B3" s="86" t="s">
        <v>709</v>
      </c>
      <c r="C3" s="86" t="s">
        <v>792</v>
      </c>
    </row>
    <row r="4" spans="1:5">
      <c r="B4" s="86" t="s">
        <v>711</v>
      </c>
      <c r="C4" s="86" t="s">
        <v>712</v>
      </c>
    </row>
    <row r="5" spans="1:5">
      <c r="B5" s="86" t="s">
        <v>713</v>
      </c>
    </row>
    <row r="7" spans="1:5">
      <c r="A7" s="2" t="s">
        <v>0</v>
      </c>
    </row>
    <row r="8" spans="1:5" ht="15.75" thickBot="1">
      <c r="B8" s="1" t="s">
        <v>1</v>
      </c>
      <c r="C8" s="1" t="s">
        <v>2</v>
      </c>
      <c r="D8" s="1" t="s">
        <v>3</v>
      </c>
      <c r="E8" s="1" t="s">
        <v>4</v>
      </c>
    </row>
    <row r="9" spans="1:5">
      <c r="B9" t="s">
        <v>715</v>
      </c>
      <c r="C9">
        <v>90</v>
      </c>
      <c r="D9" t="s">
        <v>21</v>
      </c>
    </row>
    <row r="11" spans="1:5">
      <c r="A11" s="2" t="s">
        <v>11</v>
      </c>
    </row>
    <row r="12" spans="1:5" ht="15.75" thickBot="1">
      <c r="B12" s="100" t="s">
        <v>1</v>
      </c>
      <c r="C12" s="100" t="s">
        <v>2</v>
      </c>
      <c r="D12" s="100" t="s">
        <v>3</v>
      </c>
      <c r="E12" s="1" t="s">
        <v>4</v>
      </c>
    </row>
    <row r="13" spans="1:5">
      <c r="B13" t="s">
        <v>716</v>
      </c>
      <c r="C13">
        <v>115</v>
      </c>
      <c r="D13" t="s">
        <v>21</v>
      </c>
    </row>
    <row r="14" spans="1:5">
      <c r="B14" t="s">
        <v>717</v>
      </c>
      <c r="C14">
        <v>2</v>
      </c>
      <c r="D14" t="s">
        <v>487</v>
      </c>
    </row>
    <row r="15" spans="1:5">
      <c r="B15" t="s">
        <v>486</v>
      </c>
      <c r="C15">
        <v>2</v>
      </c>
      <c r="D15" t="s">
        <v>487</v>
      </c>
    </row>
    <row r="16" spans="1:5">
      <c r="B16" t="s">
        <v>25</v>
      </c>
      <c r="C16">
        <v>1</v>
      </c>
      <c r="D16" t="s">
        <v>487</v>
      </c>
    </row>
    <row r="17" spans="1:9">
      <c r="B17" t="s">
        <v>523</v>
      </c>
      <c r="C17">
        <v>5</v>
      </c>
      <c r="D17" t="s">
        <v>21</v>
      </c>
    </row>
    <row r="18" spans="1:9">
      <c r="B18" t="s">
        <v>718</v>
      </c>
      <c r="C18">
        <v>1.6</v>
      </c>
      <c r="D18" t="s">
        <v>21</v>
      </c>
    </row>
    <row r="20" spans="1:9">
      <c r="A20" s="2" t="s">
        <v>136</v>
      </c>
    </row>
    <row r="21" spans="1:9">
      <c r="B21" t="s">
        <v>719</v>
      </c>
      <c r="C21">
        <f>C14*C13+C9</f>
        <v>320</v>
      </c>
      <c r="D21" t="s">
        <v>21</v>
      </c>
    </row>
    <row r="22" spans="1:9">
      <c r="B22" t="s">
        <v>720</v>
      </c>
      <c r="C22">
        <f>C17*C9</f>
        <v>450</v>
      </c>
      <c r="D22" t="s">
        <v>49</v>
      </c>
    </row>
    <row r="23" spans="1:9">
      <c r="B23" t="s">
        <v>721</v>
      </c>
      <c r="C23">
        <f>C14*C13*C17</f>
        <v>1150</v>
      </c>
      <c r="D23" t="s">
        <v>49</v>
      </c>
    </row>
    <row r="24" spans="1:9">
      <c r="B24" t="s">
        <v>722</v>
      </c>
      <c r="C24">
        <f>C22+C23</f>
        <v>1600</v>
      </c>
      <c r="D24" t="s">
        <v>49</v>
      </c>
    </row>
    <row r="26" spans="1:9">
      <c r="A26" s="2" t="s">
        <v>26</v>
      </c>
      <c r="B26" s="2" t="s">
        <v>96</v>
      </c>
    </row>
    <row r="27" spans="1:9" ht="15.75" thickBot="1">
      <c r="B27" s="1" t="s">
        <v>1</v>
      </c>
      <c r="C27" s="1" t="s">
        <v>2</v>
      </c>
      <c r="D27" s="1" t="s">
        <v>3</v>
      </c>
      <c r="E27" s="1" t="s">
        <v>4</v>
      </c>
      <c r="F27" s="1" t="s">
        <v>616</v>
      </c>
      <c r="G27" s="1" t="s">
        <v>4</v>
      </c>
      <c r="H27" s="1" t="s">
        <v>643</v>
      </c>
      <c r="I27" s="1" t="s">
        <v>3</v>
      </c>
    </row>
    <row r="28" spans="1:9">
      <c r="A28" t="s">
        <v>37</v>
      </c>
      <c r="B28" t="s">
        <v>739</v>
      </c>
      <c r="C28">
        <v>50.1</v>
      </c>
      <c r="D28" t="s">
        <v>48</v>
      </c>
      <c r="F28" t="s">
        <v>733</v>
      </c>
      <c r="H28" s="101">
        <f>C28</f>
        <v>50.1</v>
      </c>
      <c r="I28" t="s">
        <v>48</v>
      </c>
    </row>
    <row r="29" spans="1:9">
      <c r="A29" t="s">
        <v>37</v>
      </c>
      <c r="B29" t="s">
        <v>740</v>
      </c>
      <c r="C29">
        <v>4.3</v>
      </c>
      <c r="D29" t="s">
        <v>159</v>
      </c>
      <c r="F29" t="s">
        <v>620</v>
      </c>
      <c r="H29" s="101">
        <f>C29*1000</f>
        <v>4300</v>
      </c>
      <c r="I29" t="s">
        <v>644</v>
      </c>
    </row>
    <row r="30" spans="1:9">
      <c r="A30" t="s">
        <v>38</v>
      </c>
      <c r="B30" t="s">
        <v>741</v>
      </c>
      <c r="C30">
        <v>52.1</v>
      </c>
      <c r="D30" t="s">
        <v>48</v>
      </c>
      <c r="F30" t="s">
        <v>733</v>
      </c>
      <c r="H30" s="101">
        <f>C30</f>
        <v>52.1</v>
      </c>
      <c r="I30" t="s">
        <v>48</v>
      </c>
    </row>
    <row r="31" spans="1:9">
      <c r="A31" t="s">
        <v>38</v>
      </c>
      <c r="B31" t="s">
        <v>742</v>
      </c>
      <c r="C31">
        <f>C30*160/1000</f>
        <v>8.3360000000000003</v>
      </c>
      <c r="D31" t="s">
        <v>159</v>
      </c>
      <c r="E31" t="s">
        <v>769</v>
      </c>
      <c r="F31" t="s">
        <v>620</v>
      </c>
      <c r="H31" s="101">
        <f>C31*1000</f>
        <v>8336</v>
      </c>
      <c r="I31" t="s">
        <v>644</v>
      </c>
    </row>
    <row r="32" spans="1:9">
      <c r="A32" t="s">
        <v>770</v>
      </c>
      <c r="B32" t="s">
        <v>771</v>
      </c>
      <c r="C32">
        <f>$C$17*1.2*1.2</f>
        <v>7.1999999999999993</v>
      </c>
      <c r="D32" t="s">
        <v>48</v>
      </c>
      <c r="E32" t="s">
        <v>772</v>
      </c>
      <c r="F32" t="s">
        <v>733</v>
      </c>
      <c r="H32" s="101">
        <f>C32</f>
        <v>7.1999999999999993</v>
      </c>
      <c r="I32" t="s">
        <v>48</v>
      </c>
    </row>
    <row r="33" spans="1:9">
      <c r="A33" t="s">
        <v>770</v>
      </c>
      <c r="B33" t="s">
        <v>773</v>
      </c>
      <c r="C33">
        <f>C32*200/1000</f>
        <v>1.4399999999999997</v>
      </c>
      <c r="D33" t="s">
        <v>159</v>
      </c>
      <c r="E33" t="s">
        <v>774</v>
      </c>
      <c r="F33" t="s">
        <v>620</v>
      </c>
      <c r="H33" s="101">
        <f>C33*1000</f>
        <v>1439.9999999999998</v>
      </c>
      <c r="I33" t="s">
        <v>644</v>
      </c>
    </row>
    <row r="34" spans="1:9">
      <c r="A34" t="s">
        <v>770</v>
      </c>
      <c r="B34" t="s">
        <v>775</v>
      </c>
      <c r="C34" s="9">
        <f>3*4*(PI()*0.4^2)</f>
        <v>6.0318578948924033</v>
      </c>
      <c r="D34" t="s">
        <v>48</v>
      </c>
      <c r="E34" t="s">
        <v>776</v>
      </c>
      <c r="F34" t="s">
        <v>733</v>
      </c>
      <c r="H34" s="101">
        <f>C34</f>
        <v>6.0318578948924033</v>
      </c>
      <c r="I34" t="s">
        <v>48</v>
      </c>
    </row>
    <row r="35" spans="1:9">
      <c r="A35" t="s">
        <v>770</v>
      </c>
      <c r="B35" t="s">
        <v>777</v>
      </c>
      <c r="C35" s="9">
        <f>C34*200/1000</f>
        <v>1.2063715789784806</v>
      </c>
      <c r="D35" t="s">
        <v>159</v>
      </c>
      <c r="E35" t="s">
        <v>774</v>
      </c>
      <c r="F35" t="s">
        <v>620</v>
      </c>
      <c r="H35" s="101">
        <f>C35*1000</f>
        <v>1206.3715789784806</v>
      </c>
      <c r="I35" t="s">
        <v>644</v>
      </c>
    </row>
    <row r="36" spans="1:9">
      <c r="A36" t="s">
        <v>770</v>
      </c>
      <c r="B36" t="s">
        <v>778</v>
      </c>
      <c r="C36">
        <f>($C$17+0.5)*2.4*1</f>
        <v>13.2</v>
      </c>
      <c r="D36" t="s">
        <v>48</v>
      </c>
      <c r="E36" t="s">
        <v>779</v>
      </c>
      <c r="F36" t="s">
        <v>733</v>
      </c>
      <c r="H36" s="101">
        <f>C36</f>
        <v>13.2</v>
      </c>
      <c r="I36" t="s">
        <v>48</v>
      </c>
    </row>
    <row r="37" spans="1:9">
      <c r="A37" t="s">
        <v>770</v>
      </c>
      <c r="B37" t="s">
        <v>780</v>
      </c>
      <c r="C37">
        <f>C36*140/1000</f>
        <v>1.8480000000000001</v>
      </c>
      <c r="D37" t="s">
        <v>159</v>
      </c>
      <c r="E37" t="s">
        <v>781</v>
      </c>
      <c r="F37" t="s">
        <v>620</v>
      </c>
      <c r="H37" s="101">
        <f>C37*1000</f>
        <v>1848</v>
      </c>
      <c r="I37" t="s">
        <v>644</v>
      </c>
    </row>
    <row r="38" spans="1:9">
      <c r="A38" t="s">
        <v>770</v>
      </c>
      <c r="B38" t="s">
        <v>782</v>
      </c>
      <c r="C38">
        <f>8*0.4*0.4*15</f>
        <v>19.200000000000003</v>
      </c>
      <c r="D38" t="s">
        <v>48</v>
      </c>
      <c r="E38" t="s">
        <v>783</v>
      </c>
      <c r="F38" t="s">
        <v>733</v>
      </c>
      <c r="H38" s="101">
        <f>C38</f>
        <v>19.200000000000003</v>
      </c>
      <c r="I38" t="s">
        <v>48</v>
      </c>
    </row>
    <row r="39" spans="1:9">
      <c r="A39" t="s">
        <v>770</v>
      </c>
      <c r="B39" t="s">
        <v>793</v>
      </c>
      <c r="C39">
        <f>C38*100/1000</f>
        <v>1.9200000000000002</v>
      </c>
      <c r="D39" t="s">
        <v>159</v>
      </c>
      <c r="E39" t="s">
        <v>761</v>
      </c>
      <c r="F39" t="s">
        <v>620</v>
      </c>
      <c r="H39" s="101">
        <f>C39*1000</f>
        <v>1920.0000000000002</v>
      </c>
      <c r="I39" t="s">
        <v>644</v>
      </c>
    </row>
    <row r="40" spans="1:9">
      <c r="A40" t="s">
        <v>770</v>
      </c>
      <c r="B40" t="s">
        <v>785</v>
      </c>
      <c r="C40">
        <f>C38*30/1000</f>
        <v>0.57600000000000007</v>
      </c>
      <c r="D40" t="s">
        <v>159</v>
      </c>
      <c r="E40" t="s">
        <v>748</v>
      </c>
      <c r="F40" t="s">
        <v>620</v>
      </c>
      <c r="H40" s="101">
        <f>C40*1000</f>
        <v>576.00000000000011</v>
      </c>
      <c r="I40" t="s">
        <v>644</v>
      </c>
    </row>
    <row r="41" spans="1:9">
      <c r="A41" t="s">
        <v>39</v>
      </c>
      <c r="B41" t="s">
        <v>743</v>
      </c>
      <c r="C41">
        <f>$C$22*$C$18</f>
        <v>720</v>
      </c>
      <c r="D41" t="s">
        <v>48</v>
      </c>
      <c r="F41" t="s">
        <v>617</v>
      </c>
      <c r="H41" s="101">
        <f>C41</f>
        <v>720</v>
      </c>
      <c r="I41" t="s">
        <v>48</v>
      </c>
    </row>
    <row r="42" spans="1:9">
      <c r="A42" t="s">
        <v>39</v>
      </c>
      <c r="B42" t="s">
        <v>745</v>
      </c>
      <c r="C42">
        <f>C41*100/1000</f>
        <v>72</v>
      </c>
      <c r="D42" t="s">
        <v>159</v>
      </c>
      <c r="E42" t="s">
        <v>761</v>
      </c>
      <c r="F42" t="s">
        <v>620</v>
      </c>
      <c r="H42" s="101">
        <f>C42*1000</f>
        <v>72000</v>
      </c>
      <c r="I42" t="s">
        <v>644</v>
      </c>
    </row>
    <row r="43" spans="1:9">
      <c r="A43" t="s">
        <v>39</v>
      </c>
      <c r="B43" t="s">
        <v>747</v>
      </c>
      <c r="C43">
        <f>C41*30/1000</f>
        <v>21.6</v>
      </c>
      <c r="D43" t="s">
        <v>159</v>
      </c>
      <c r="E43" t="s">
        <v>748</v>
      </c>
      <c r="F43" t="s">
        <v>620</v>
      </c>
      <c r="H43" s="101">
        <f>C43*1000</f>
        <v>21600</v>
      </c>
      <c r="I43" t="s">
        <v>644</v>
      </c>
    </row>
    <row r="44" spans="1:9">
      <c r="A44" t="s">
        <v>39</v>
      </c>
      <c r="B44" t="s">
        <v>731</v>
      </c>
      <c r="C44">
        <f>$C$9*2</f>
        <v>180</v>
      </c>
      <c r="D44" t="s">
        <v>102</v>
      </c>
      <c r="F44" t="s">
        <v>696</v>
      </c>
      <c r="H44" s="101">
        <f>C44</f>
        <v>180</v>
      </c>
      <c r="I44" t="s">
        <v>21</v>
      </c>
    </row>
    <row r="45" spans="1:9">
      <c r="A45" t="s">
        <v>39</v>
      </c>
      <c r="B45" t="s">
        <v>732</v>
      </c>
      <c r="C45">
        <f>$C$9*2</f>
        <v>180</v>
      </c>
      <c r="D45" t="s">
        <v>102</v>
      </c>
      <c r="F45" t="s">
        <v>733</v>
      </c>
      <c r="G45" t="s">
        <v>734</v>
      </c>
      <c r="H45" s="102">
        <f>C45*0.4*0.4</f>
        <v>28.8</v>
      </c>
      <c r="I45" t="s">
        <v>48</v>
      </c>
    </row>
    <row r="46" spans="1:9">
      <c r="A46" t="s">
        <v>735</v>
      </c>
      <c r="B46" t="s">
        <v>750</v>
      </c>
      <c r="C46">
        <f>$C$24</f>
        <v>1600</v>
      </c>
      <c r="D46" t="s">
        <v>49</v>
      </c>
      <c r="F46" t="s">
        <v>660</v>
      </c>
      <c r="G46" t="s">
        <v>751</v>
      </c>
      <c r="H46" s="102">
        <f>C46*0.04*2500</f>
        <v>160000</v>
      </c>
      <c r="I46" t="s">
        <v>644</v>
      </c>
    </row>
    <row r="47" spans="1:9">
      <c r="A47" t="s">
        <v>762</v>
      </c>
      <c r="B47" t="s">
        <v>763</v>
      </c>
      <c r="C47">
        <v>4.91</v>
      </c>
      <c r="D47" t="s">
        <v>48</v>
      </c>
      <c r="F47" t="s">
        <v>733</v>
      </c>
      <c r="H47" s="101">
        <f>C47</f>
        <v>4.91</v>
      </c>
      <c r="I47" t="s">
        <v>48</v>
      </c>
    </row>
    <row r="48" spans="1:9">
      <c r="A48" t="s">
        <v>610</v>
      </c>
      <c r="B48" t="s">
        <v>764</v>
      </c>
      <c r="C48">
        <f>$C$9/10</f>
        <v>9</v>
      </c>
      <c r="D48" t="s">
        <v>487</v>
      </c>
      <c r="F48" t="s">
        <v>765</v>
      </c>
      <c r="G48" t="s">
        <v>766</v>
      </c>
      <c r="H48" s="102">
        <f>C48</f>
        <v>9</v>
      </c>
      <c r="I48" t="s">
        <v>487</v>
      </c>
    </row>
    <row r="49" spans="1:9">
      <c r="A49" t="s">
        <v>306</v>
      </c>
      <c r="B49" t="s">
        <v>786</v>
      </c>
      <c r="C49">
        <f>$C$9*(1/(1+2))</f>
        <v>30</v>
      </c>
      <c r="D49" t="s">
        <v>21</v>
      </c>
      <c r="E49" t="s">
        <v>787</v>
      </c>
      <c r="F49" t="s">
        <v>621</v>
      </c>
      <c r="G49" t="s">
        <v>788</v>
      </c>
      <c r="H49" s="102">
        <f>C49/2</f>
        <v>15</v>
      </c>
      <c r="I49" t="s">
        <v>21</v>
      </c>
    </row>
    <row r="50" spans="1:9">
      <c r="H50" s="101"/>
    </row>
    <row r="51" spans="1:9">
      <c r="A51" s="2" t="s">
        <v>26</v>
      </c>
      <c r="B51" s="2" t="s">
        <v>752</v>
      </c>
      <c r="H51" s="101"/>
    </row>
    <row r="52" spans="1:9" ht="15.75" thickBot="1">
      <c r="B52" s="1" t="s">
        <v>1</v>
      </c>
      <c r="C52" s="1" t="s">
        <v>2</v>
      </c>
      <c r="D52" s="1" t="s">
        <v>3</v>
      </c>
      <c r="E52" s="1" t="s">
        <v>4</v>
      </c>
      <c r="F52" s="1" t="s">
        <v>616</v>
      </c>
      <c r="G52" s="1" t="s">
        <v>4</v>
      </c>
      <c r="H52" s="103" t="s">
        <v>643</v>
      </c>
      <c r="I52" s="1" t="s">
        <v>3</v>
      </c>
    </row>
    <row r="53" spans="1:9">
      <c r="A53" t="s">
        <v>37</v>
      </c>
      <c r="B53" t="s">
        <v>739</v>
      </c>
      <c r="C53">
        <v>50</v>
      </c>
      <c r="D53" t="s">
        <v>48</v>
      </c>
      <c r="F53" t="s">
        <v>733</v>
      </c>
      <c r="H53" s="101">
        <f>C53</f>
        <v>50</v>
      </c>
      <c r="I53" t="s">
        <v>48</v>
      </c>
    </row>
    <row r="54" spans="1:9">
      <c r="A54" t="s">
        <v>37</v>
      </c>
      <c r="B54" t="s">
        <v>740</v>
      </c>
      <c r="C54">
        <v>4.8</v>
      </c>
      <c r="D54" t="s">
        <v>159</v>
      </c>
      <c r="F54" t="s">
        <v>620</v>
      </c>
      <c r="H54" s="101">
        <f>C54*1000</f>
        <v>4800</v>
      </c>
      <c r="I54" t="s">
        <v>644</v>
      </c>
    </row>
    <row r="55" spans="1:9">
      <c r="A55" t="s">
        <v>38</v>
      </c>
      <c r="B55" t="s">
        <v>741</v>
      </c>
      <c r="C55">
        <v>61.1</v>
      </c>
      <c r="D55" t="s">
        <v>48</v>
      </c>
      <c r="F55" t="s">
        <v>733</v>
      </c>
      <c r="H55" s="101">
        <f>C55</f>
        <v>61.1</v>
      </c>
      <c r="I55" t="s">
        <v>48</v>
      </c>
    </row>
    <row r="56" spans="1:9">
      <c r="A56" t="s">
        <v>38</v>
      </c>
      <c r="B56" t="s">
        <v>742</v>
      </c>
      <c r="C56">
        <f>C55*160/1000</f>
        <v>9.7759999999999998</v>
      </c>
      <c r="D56" t="s">
        <v>159</v>
      </c>
      <c r="E56" t="s">
        <v>769</v>
      </c>
      <c r="F56" t="s">
        <v>620</v>
      </c>
      <c r="H56" s="101">
        <f>C56*1000</f>
        <v>9776</v>
      </c>
      <c r="I56" t="s">
        <v>644</v>
      </c>
    </row>
    <row r="57" spans="1:9">
      <c r="A57" t="s">
        <v>770</v>
      </c>
      <c r="B57" t="s">
        <v>771</v>
      </c>
      <c r="C57">
        <f>$C$17*1.2*1.2</f>
        <v>7.1999999999999993</v>
      </c>
      <c r="D57" t="s">
        <v>48</v>
      </c>
      <c r="E57" t="s">
        <v>772</v>
      </c>
      <c r="F57" t="s">
        <v>733</v>
      </c>
      <c r="H57" s="101">
        <f>C57</f>
        <v>7.1999999999999993</v>
      </c>
      <c r="I57" t="s">
        <v>48</v>
      </c>
    </row>
    <row r="58" spans="1:9">
      <c r="A58" t="s">
        <v>770</v>
      </c>
      <c r="B58" t="s">
        <v>773</v>
      </c>
      <c r="C58">
        <f>C57*200/1000</f>
        <v>1.4399999999999997</v>
      </c>
      <c r="D58" t="s">
        <v>159</v>
      </c>
      <c r="E58" t="s">
        <v>774</v>
      </c>
      <c r="F58" t="s">
        <v>620</v>
      </c>
      <c r="H58" s="101">
        <f>C58*1000</f>
        <v>1439.9999999999998</v>
      </c>
      <c r="I58" t="s">
        <v>644</v>
      </c>
    </row>
    <row r="59" spans="1:9">
      <c r="A59" t="s">
        <v>770</v>
      </c>
      <c r="B59" t="s">
        <v>775</v>
      </c>
      <c r="C59" s="9">
        <f>3*4*(PI()*0.4^2)</f>
        <v>6.0318578948924033</v>
      </c>
      <c r="D59" s="9" t="s">
        <v>48</v>
      </c>
      <c r="E59" t="s">
        <v>776</v>
      </c>
      <c r="F59" t="s">
        <v>733</v>
      </c>
      <c r="H59" s="101">
        <f>C59</f>
        <v>6.0318578948924033</v>
      </c>
      <c r="I59" t="s">
        <v>48</v>
      </c>
    </row>
    <row r="60" spans="1:9">
      <c r="A60" t="s">
        <v>770</v>
      </c>
      <c r="B60" t="s">
        <v>777</v>
      </c>
      <c r="C60" s="9">
        <f>C59*200/1000</f>
        <v>1.2063715789784806</v>
      </c>
      <c r="D60" s="9" t="s">
        <v>159</v>
      </c>
      <c r="E60" t="s">
        <v>774</v>
      </c>
      <c r="F60" t="s">
        <v>620</v>
      </c>
      <c r="H60" s="101">
        <f>C60*1000</f>
        <v>1206.3715789784806</v>
      </c>
      <c r="I60" t="s">
        <v>644</v>
      </c>
    </row>
    <row r="61" spans="1:9">
      <c r="A61" t="s">
        <v>770</v>
      </c>
      <c r="B61" t="s">
        <v>778</v>
      </c>
      <c r="C61">
        <f>($C$17+0.5)*2.4*1</f>
        <v>13.2</v>
      </c>
      <c r="D61" t="s">
        <v>48</v>
      </c>
      <c r="E61" t="s">
        <v>779</v>
      </c>
      <c r="F61" t="s">
        <v>733</v>
      </c>
      <c r="H61" s="101">
        <f>C61</f>
        <v>13.2</v>
      </c>
      <c r="I61" t="s">
        <v>48</v>
      </c>
    </row>
    <row r="62" spans="1:9">
      <c r="A62" t="s">
        <v>770</v>
      </c>
      <c r="B62" t="s">
        <v>780</v>
      </c>
      <c r="C62">
        <f>C61*140/1000</f>
        <v>1.8480000000000001</v>
      </c>
      <c r="D62" t="s">
        <v>159</v>
      </c>
      <c r="E62" t="s">
        <v>781</v>
      </c>
      <c r="F62" t="s">
        <v>620</v>
      </c>
      <c r="H62" s="101">
        <f>C62*1000</f>
        <v>1848</v>
      </c>
      <c r="I62" t="s">
        <v>644</v>
      </c>
    </row>
    <row r="63" spans="1:9">
      <c r="A63" t="s">
        <v>770</v>
      </c>
      <c r="B63" t="s">
        <v>782</v>
      </c>
      <c r="C63">
        <f>8*0.4*0.4*15</f>
        <v>19.200000000000003</v>
      </c>
      <c r="D63" t="s">
        <v>48</v>
      </c>
      <c r="E63" t="s">
        <v>783</v>
      </c>
      <c r="F63" t="s">
        <v>733</v>
      </c>
      <c r="H63" s="101">
        <f>C63</f>
        <v>19.200000000000003</v>
      </c>
      <c r="I63" t="s">
        <v>48</v>
      </c>
    </row>
    <row r="64" spans="1:9">
      <c r="A64" t="s">
        <v>770</v>
      </c>
      <c r="B64" t="s">
        <v>784</v>
      </c>
      <c r="C64">
        <f>C63*100/1000</f>
        <v>1.9200000000000002</v>
      </c>
      <c r="D64" t="s">
        <v>159</v>
      </c>
      <c r="E64" t="s">
        <v>761</v>
      </c>
      <c r="F64" t="s">
        <v>620</v>
      </c>
      <c r="H64" s="101">
        <f>C64*1000</f>
        <v>1920.0000000000002</v>
      </c>
      <c r="I64" t="s">
        <v>644</v>
      </c>
    </row>
    <row r="65" spans="1:9">
      <c r="A65" t="s">
        <v>770</v>
      </c>
      <c r="B65" t="s">
        <v>785</v>
      </c>
      <c r="C65">
        <f>C63*30/1000</f>
        <v>0.57600000000000007</v>
      </c>
      <c r="D65" t="s">
        <v>159</v>
      </c>
      <c r="E65" t="s">
        <v>748</v>
      </c>
      <c r="F65" t="s">
        <v>620</v>
      </c>
      <c r="H65" s="101">
        <f>C65*1000</f>
        <v>576.00000000000011</v>
      </c>
      <c r="I65" t="s">
        <v>644</v>
      </c>
    </row>
    <row r="66" spans="1:9">
      <c r="A66" t="s">
        <v>39</v>
      </c>
      <c r="B66" t="s">
        <v>753</v>
      </c>
      <c r="C66">
        <v>17.5</v>
      </c>
      <c r="D66" t="s">
        <v>159</v>
      </c>
      <c r="E66" t="s">
        <v>748</v>
      </c>
      <c r="F66" t="s">
        <v>683</v>
      </c>
      <c r="G66" t="s">
        <v>684</v>
      </c>
      <c r="H66" s="102">
        <f>C66*1000/125</f>
        <v>140</v>
      </c>
      <c r="I66" t="s">
        <v>21</v>
      </c>
    </row>
    <row r="67" spans="1:9">
      <c r="A67" t="s">
        <v>39</v>
      </c>
      <c r="B67" t="s">
        <v>731</v>
      </c>
      <c r="C67">
        <f>$C$9*2</f>
        <v>180</v>
      </c>
      <c r="D67" t="s">
        <v>102</v>
      </c>
      <c r="F67" t="s">
        <v>696</v>
      </c>
      <c r="H67" s="101">
        <f>C67</f>
        <v>180</v>
      </c>
      <c r="I67" t="s">
        <v>21</v>
      </c>
    </row>
    <row r="68" spans="1:9">
      <c r="A68" t="s">
        <v>39</v>
      </c>
      <c r="B68" t="s">
        <v>767</v>
      </c>
      <c r="C68">
        <v>15.8</v>
      </c>
      <c r="D68" t="s">
        <v>159</v>
      </c>
      <c r="F68" t="s">
        <v>683</v>
      </c>
      <c r="G68" t="s">
        <v>684</v>
      </c>
      <c r="H68" s="102">
        <f>C68*1000/125</f>
        <v>126.4</v>
      </c>
      <c r="I68" t="s">
        <v>21</v>
      </c>
    </row>
    <row r="69" spans="1:9">
      <c r="A69" t="s">
        <v>39</v>
      </c>
      <c r="B69" t="s">
        <v>732</v>
      </c>
      <c r="C69">
        <f>$C$9*2</f>
        <v>180</v>
      </c>
      <c r="D69" t="s">
        <v>102</v>
      </c>
      <c r="F69" t="s">
        <v>733</v>
      </c>
      <c r="G69" t="s">
        <v>734</v>
      </c>
      <c r="H69" s="102">
        <f>C69*0.4*0.4</f>
        <v>28.8</v>
      </c>
      <c r="I69" t="s">
        <v>48</v>
      </c>
    </row>
    <row r="70" spans="1:9">
      <c r="A70" t="s">
        <v>735</v>
      </c>
      <c r="B70" t="s">
        <v>736</v>
      </c>
      <c r="C70">
        <f>$C$24</f>
        <v>1600</v>
      </c>
      <c r="D70" t="s">
        <v>49</v>
      </c>
      <c r="F70" t="s">
        <v>737</v>
      </c>
      <c r="G70" t="s">
        <v>738</v>
      </c>
      <c r="H70" s="102">
        <f>C70*0.01*2500</f>
        <v>40000</v>
      </c>
      <c r="I70" t="s">
        <v>644</v>
      </c>
    </row>
    <row r="71" spans="1:9">
      <c r="A71" t="s">
        <v>762</v>
      </c>
      <c r="B71" t="s">
        <v>763</v>
      </c>
      <c r="C71">
        <v>4.91</v>
      </c>
      <c r="D71" t="s">
        <v>48</v>
      </c>
      <c r="F71" t="s">
        <v>733</v>
      </c>
      <c r="H71" s="101">
        <f>C71</f>
        <v>4.91</v>
      </c>
      <c r="I71" t="s">
        <v>48</v>
      </c>
    </row>
    <row r="72" spans="1:9">
      <c r="A72" t="s">
        <v>610</v>
      </c>
      <c r="B72" t="s">
        <v>764</v>
      </c>
      <c r="C72">
        <f>$C$9/10</f>
        <v>9</v>
      </c>
      <c r="D72" t="s">
        <v>487</v>
      </c>
      <c r="F72" t="s">
        <v>765</v>
      </c>
      <c r="G72" t="s">
        <v>766</v>
      </c>
      <c r="H72" s="102">
        <f>C72</f>
        <v>9</v>
      </c>
      <c r="I72" t="s">
        <v>487</v>
      </c>
    </row>
    <row r="73" spans="1:9">
      <c r="A73" t="s">
        <v>306</v>
      </c>
      <c r="B73" t="s">
        <v>786</v>
      </c>
      <c r="C73">
        <f>$C$9*(1/(1+2))</f>
        <v>30</v>
      </c>
      <c r="D73" t="s">
        <v>21</v>
      </c>
      <c r="E73" t="s">
        <v>787</v>
      </c>
      <c r="F73" t="s">
        <v>621</v>
      </c>
      <c r="G73" t="s">
        <v>788</v>
      </c>
      <c r="H73" s="102">
        <f>C73/2</f>
        <v>15</v>
      </c>
      <c r="I73" t="s">
        <v>21</v>
      </c>
    </row>
  </sheetData>
  <pageMargins left="0.7" right="0.7" top="0.75" bottom="0.75" header="0.3" footer="0.3"/>
  <pageSetup paperSize="9" orientation="portrait" horizontalDpi="300" verticalDpi="30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sheetPr>
  <dimension ref="A1:H103"/>
  <sheetViews>
    <sheetView zoomScale="70" zoomScaleNormal="70" workbookViewId="0">
      <selection activeCell="A25" sqref="A25"/>
    </sheetView>
  </sheetViews>
  <sheetFormatPr defaultRowHeight="15"/>
  <cols>
    <col min="1" max="1" width="20.28515625" bestFit="1" customWidth="1"/>
    <col min="2" max="2" width="52.85546875" bestFit="1" customWidth="1"/>
    <col min="3" max="3" width="11.5703125" bestFit="1" customWidth="1"/>
    <col min="4" max="4" width="12.5703125" bestFit="1" customWidth="1"/>
    <col min="5" max="5" width="57.85546875" bestFit="1" customWidth="1"/>
    <col min="6" max="6" width="81.7109375" customWidth="1"/>
    <col min="7" max="7" width="15.85546875" bestFit="1" customWidth="1"/>
    <col min="8" max="8" width="11" bestFit="1" customWidth="1"/>
    <col min="9" max="9" width="12.42578125" bestFit="1" customWidth="1"/>
  </cols>
  <sheetData>
    <row r="1" spans="1:6">
      <c r="A1" s="2" t="s">
        <v>0</v>
      </c>
    </row>
    <row r="2" spans="1:6" ht="15.75" thickBot="1">
      <c r="B2" s="1" t="s">
        <v>1</v>
      </c>
      <c r="C2" s="1"/>
      <c r="D2" s="1" t="s">
        <v>2</v>
      </c>
      <c r="E2" s="1" t="s">
        <v>3</v>
      </c>
      <c r="F2" s="1" t="s">
        <v>4</v>
      </c>
    </row>
    <row r="3" spans="1:6">
      <c r="B3" t="s">
        <v>7</v>
      </c>
      <c r="D3">
        <v>4</v>
      </c>
      <c r="E3" t="s">
        <v>5</v>
      </c>
      <c r="F3" t="s">
        <v>100</v>
      </c>
    </row>
    <row r="4" spans="1:6">
      <c r="B4" t="s">
        <v>57</v>
      </c>
      <c r="D4">
        <v>1</v>
      </c>
      <c r="E4" t="s">
        <v>5</v>
      </c>
      <c r="F4" t="s">
        <v>58</v>
      </c>
    </row>
    <row r="5" spans="1:6">
      <c r="B5" t="s">
        <v>82</v>
      </c>
      <c r="D5">
        <v>2</v>
      </c>
      <c r="E5" t="s">
        <v>21</v>
      </c>
    </row>
    <row r="6" spans="1:6">
      <c r="B6" t="s">
        <v>59</v>
      </c>
      <c r="D6">
        <v>1</v>
      </c>
      <c r="E6" t="s">
        <v>5</v>
      </c>
      <c r="F6" t="s">
        <v>58</v>
      </c>
    </row>
    <row r="7" spans="1:6">
      <c r="B7" t="s">
        <v>72</v>
      </c>
      <c r="D7">
        <v>1</v>
      </c>
      <c r="E7" t="s">
        <v>10</v>
      </c>
    </row>
    <row r="9" spans="1:6">
      <c r="A9" s="2" t="s">
        <v>11</v>
      </c>
    </row>
    <row r="10" spans="1:6" ht="15.75" thickBot="1">
      <c r="B10" s="1" t="s">
        <v>1</v>
      </c>
      <c r="C10" s="1"/>
      <c r="D10" s="1" t="s">
        <v>2</v>
      </c>
      <c r="E10" s="1" t="s">
        <v>3</v>
      </c>
      <c r="F10" s="1" t="s">
        <v>4</v>
      </c>
    </row>
    <row r="11" spans="1:6">
      <c r="B11" t="s">
        <v>15</v>
      </c>
      <c r="D11">
        <v>3.5</v>
      </c>
      <c r="E11" t="s">
        <v>21</v>
      </c>
    </row>
    <row r="12" spans="1:6">
      <c r="B12" t="s">
        <v>13</v>
      </c>
      <c r="D12">
        <v>0.6</v>
      </c>
      <c r="E12" t="s">
        <v>21</v>
      </c>
      <c r="F12" t="s">
        <v>101</v>
      </c>
    </row>
    <row r="13" spans="1:6">
      <c r="B13" t="s">
        <v>60</v>
      </c>
      <c r="D13">
        <v>5</v>
      </c>
      <c r="E13" t="s">
        <v>21</v>
      </c>
    </row>
    <row r="14" spans="1:6">
      <c r="B14" t="s">
        <v>61</v>
      </c>
      <c r="D14">
        <v>1.2</v>
      </c>
      <c r="E14" t="s">
        <v>21</v>
      </c>
    </row>
    <row r="15" spans="1:6">
      <c r="B15" t="s">
        <v>62</v>
      </c>
      <c r="D15">
        <v>400</v>
      </c>
      <c r="E15" t="s">
        <v>63</v>
      </c>
    </row>
    <row r="16" spans="1:6">
      <c r="B16" t="s">
        <v>16</v>
      </c>
      <c r="D16">
        <v>7.0000000000000007E-2</v>
      </c>
      <c r="E16" t="s">
        <v>21</v>
      </c>
    </row>
    <row r="17" spans="2:6">
      <c r="B17" t="s">
        <v>17</v>
      </c>
      <c r="D17">
        <v>7.0000000000000007E-2</v>
      </c>
      <c r="E17" t="s">
        <v>21</v>
      </c>
      <c r="F17" t="s">
        <v>45</v>
      </c>
    </row>
    <row r="18" spans="2:6">
      <c r="B18" t="s">
        <v>18</v>
      </c>
      <c r="D18">
        <v>0.18</v>
      </c>
      <c r="E18" t="s">
        <v>21</v>
      </c>
      <c r="F18" t="s">
        <v>45</v>
      </c>
    </row>
    <row r="19" spans="2:6">
      <c r="B19" t="s">
        <v>19</v>
      </c>
      <c r="D19">
        <v>0.25</v>
      </c>
      <c r="E19" t="s">
        <v>21</v>
      </c>
      <c r="F19" t="s">
        <v>46</v>
      </c>
    </row>
    <row r="20" spans="2:6">
      <c r="B20" t="s">
        <v>20</v>
      </c>
      <c r="D20">
        <v>0.5</v>
      </c>
      <c r="E20" t="s">
        <v>21</v>
      </c>
      <c r="F20" t="s">
        <v>47</v>
      </c>
    </row>
    <row r="21" spans="2:6">
      <c r="B21" t="s">
        <v>14</v>
      </c>
      <c r="D21">
        <v>25</v>
      </c>
      <c r="E21" t="s">
        <v>22</v>
      </c>
    </row>
    <row r="22" spans="2:6" ht="15.75">
      <c r="B22" s="6" t="s">
        <v>64</v>
      </c>
      <c r="D22">
        <v>25</v>
      </c>
      <c r="E22" t="s">
        <v>69</v>
      </c>
    </row>
    <row r="23" spans="2:6" ht="15.75">
      <c r="B23" s="6" t="s">
        <v>65</v>
      </c>
      <c r="D23">
        <v>23</v>
      </c>
      <c r="E23" t="s">
        <v>69</v>
      </c>
    </row>
    <row r="24" spans="2:6" ht="15.75">
      <c r="B24" s="6" t="s">
        <v>66</v>
      </c>
      <c r="D24">
        <v>20</v>
      </c>
      <c r="E24" t="s">
        <v>69</v>
      </c>
    </row>
    <row r="25" spans="2:6" ht="15.75">
      <c r="B25" t="s">
        <v>67</v>
      </c>
      <c r="D25">
        <v>32800</v>
      </c>
      <c r="E25" t="s">
        <v>70</v>
      </c>
    </row>
    <row r="26" spans="2:6">
      <c r="B26" t="s">
        <v>68</v>
      </c>
      <c r="D26">
        <v>30</v>
      </c>
      <c r="E26" t="s">
        <v>71</v>
      </c>
    </row>
    <row r="27" spans="2:6" ht="15.75">
      <c r="B27" s="7" t="s">
        <v>73</v>
      </c>
      <c r="D27" s="8">
        <v>160</v>
      </c>
      <c r="E27" s="8" t="s">
        <v>74</v>
      </c>
      <c r="F27" s="8" t="s">
        <v>75</v>
      </c>
    </row>
    <row r="28" spans="2:6">
      <c r="B28" t="s">
        <v>97</v>
      </c>
      <c r="D28">
        <v>30</v>
      </c>
      <c r="E28" t="s">
        <v>98</v>
      </c>
      <c r="F28" s="8"/>
    </row>
    <row r="29" spans="2:6">
      <c r="B29" t="s">
        <v>122</v>
      </c>
      <c r="D29">
        <v>40</v>
      </c>
      <c r="E29" s="13" t="s">
        <v>123</v>
      </c>
      <c r="F29" t="s">
        <v>124</v>
      </c>
    </row>
    <row r="30" spans="2:6">
      <c r="B30" t="s">
        <v>461</v>
      </c>
      <c r="D30">
        <v>2</v>
      </c>
      <c r="E30" t="s">
        <v>21</v>
      </c>
    </row>
    <row r="31" spans="2:6">
      <c r="B31" t="s">
        <v>462</v>
      </c>
      <c r="D31">
        <v>10</v>
      </c>
      <c r="E31" t="s">
        <v>21</v>
      </c>
    </row>
    <row r="32" spans="2:6">
      <c r="B32" t="s">
        <v>464</v>
      </c>
      <c r="D32">
        <f>0.4*0.4</f>
        <v>0.16000000000000003</v>
      </c>
      <c r="E32" t="s">
        <v>49</v>
      </c>
    </row>
    <row r="33" spans="1:6">
      <c r="B33" t="s">
        <v>471</v>
      </c>
      <c r="D33">
        <v>5</v>
      </c>
      <c r="E33" s="13" t="s">
        <v>472</v>
      </c>
      <c r="F33" t="s">
        <v>475</v>
      </c>
    </row>
    <row r="34" spans="1:6">
      <c r="B34" t="s">
        <v>477</v>
      </c>
      <c r="D34">
        <f>12*14.74</f>
        <v>176.88</v>
      </c>
      <c r="E34" s="13" t="s">
        <v>478</v>
      </c>
      <c r="F34" t="s">
        <v>479</v>
      </c>
    </row>
    <row r="35" spans="1:6">
      <c r="B35" t="s">
        <v>473</v>
      </c>
      <c r="D35">
        <v>4.2</v>
      </c>
      <c r="E35" t="s">
        <v>21</v>
      </c>
      <c r="F35" t="s">
        <v>474</v>
      </c>
    </row>
    <row r="36" spans="1:6">
      <c r="B36" t="s">
        <v>586</v>
      </c>
      <c r="D36">
        <v>6</v>
      </c>
      <c r="E36" t="s">
        <v>21</v>
      </c>
      <c r="F36" s="19"/>
    </row>
    <row r="37" spans="1:6">
      <c r="B37" t="s">
        <v>458</v>
      </c>
      <c r="D37">
        <v>0.16900000000000001</v>
      </c>
      <c r="E37" s="13" t="s">
        <v>459</v>
      </c>
      <c r="F37" s="24" t="s">
        <v>460</v>
      </c>
    </row>
    <row r="38" spans="1:6">
      <c r="E38" s="13"/>
      <c r="F38" s="24"/>
    </row>
    <row r="40" spans="1:6">
      <c r="A40" s="2" t="s">
        <v>136</v>
      </c>
    </row>
    <row r="41" spans="1:6">
      <c r="B41" t="s">
        <v>176</v>
      </c>
      <c r="D41">
        <f>((D5+D13+D46)*D29)</f>
        <v>304</v>
      </c>
      <c r="E41" t="s">
        <v>21</v>
      </c>
    </row>
    <row r="42" spans="1:6">
      <c r="B42" t="s">
        <v>178</v>
      </c>
      <c r="D42" s="9">
        <f>SQRT((D13^2)+(D41^2))</f>
        <v>304.04111564063174</v>
      </c>
      <c r="E42" t="s">
        <v>21</v>
      </c>
    </row>
    <row r="43" spans="1:6">
      <c r="B43" t="s">
        <v>177</v>
      </c>
      <c r="D43">
        <f>SUM(D17:D20)</f>
        <v>1</v>
      </c>
      <c r="E43" t="s">
        <v>21</v>
      </c>
    </row>
    <row r="45" spans="1:6">
      <c r="B45" t="s">
        <v>76</v>
      </c>
      <c r="D45">
        <f>IF(D4=1,D3*D11+D14+(2*D15/1000)+D12*4,D3*D11+2*D12)</f>
        <v>18.399999999999999</v>
      </c>
      <c r="E45" t="s">
        <v>21</v>
      </c>
    </row>
    <row r="46" spans="1:6">
      <c r="B46" t="s">
        <v>77</v>
      </c>
      <c r="D46" s="10">
        <f>IF(D4=0,CEILING(1/16*D45,0.05),CEILING(1/16*D45/2,0.05))</f>
        <v>0.60000000000000009</v>
      </c>
      <c r="E46" t="s">
        <v>21</v>
      </c>
    </row>
    <row r="48" spans="1:6">
      <c r="B48" s="8" t="s">
        <v>91</v>
      </c>
      <c r="D48" s="12">
        <f>D25*1000*D46^3</f>
        <v>7084800.0000000028</v>
      </c>
      <c r="E48" s="12" t="s">
        <v>94</v>
      </c>
    </row>
    <row r="49" spans="2:6">
      <c r="B49" s="8" t="s">
        <v>92</v>
      </c>
      <c r="D49" s="12">
        <f>2*D48*10^-9/(D45^2)</f>
        <v>4.185255198487715E-5</v>
      </c>
      <c r="E49" s="12" t="s">
        <v>93</v>
      </c>
    </row>
    <row r="51" spans="2:6" ht="15.75">
      <c r="B51" t="s">
        <v>78</v>
      </c>
      <c r="D51" s="11">
        <f>IF(D4=0,1/14*D46*D22*(D45)^2,1/14*D46*D22*(D45/2)^2)</f>
        <v>90.685714285714283</v>
      </c>
      <c r="E51" t="s">
        <v>81</v>
      </c>
    </row>
    <row r="52" spans="2:6" ht="15.75">
      <c r="B52" t="s">
        <v>79</v>
      </c>
      <c r="D52" s="11">
        <f>IF(D4=0,1/14*(D5*D24+(140+D45*1000/30)/1000)*D45^2,1/14*(D5*D24+(140+D45*1000/30)/1000)*(D45/2)^2)</f>
        <v>246.38300952380948</v>
      </c>
      <c r="E52" t="s">
        <v>81</v>
      </c>
    </row>
    <row r="53" spans="2:6" ht="15.75">
      <c r="B53" t="s">
        <v>80</v>
      </c>
      <c r="D53" s="11">
        <f>IF(D6=1,IF(D4=0,1/14*D28*D45^2,1/14*D28*(D45/2)^2),0)</f>
        <v>181.37142857142854</v>
      </c>
      <c r="E53" t="s">
        <v>81</v>
      </c>
    </row>
    <row r="55" spans="2:6" ht="15.75">
      <c r="B55" t="s">
        <v>83</v>
      </c>
      <c r="D55" s="11">
        <f>SUM(D51:D53)</f>
        <v>518.44015238095233</v>
      </c>
      <c r="E55" t="s">
        <v>81</v>
      </c>
    </row>
    <row r="56" spans="2:6" ht="15.75">
      <c r="B56" t="s">
        <v>84</v>
      </c>
      <c r="D56" s="11">
        <f>1.25*(D51+D52)+1.5*D53</f>
        <v>693.39304761904759</v>
      </c>
      <c r="E56" t="s">
        <v>81</v>
      </c>
    </row>
    <row r="57" spans="2:6" ht="15.75">
      <c r="B57" t="s">
        <v>85</v>
      </c>
      <c r="D57" s="11">
        <f>D56/(D45/7)</f>
        <v>263.79083333333335</v>
      </c>
      <c r="E57" t="s">
        <v>89</v>
      </c>
    </row>
    <row r="59" spans="2:6" ht="15.75">
      <c r="B59" t="s">
        <v>86</v>
      </c>
      <c r="D59" s="11">
        <f>D55*10^6/(D27*(D46*1000-76)*0.9)</f>
        <v>6870.7611373641885</v>
      </c>
      <c r="E59" t="s">
        <v>90</v>
      </c>
    </row>
    <row r="60" spans="2:6">
      <c r="B60" t="s">
        <v>87</v>
      </c>
      <c r="D60" s="9">
        <f>(D56/D55*D27)/435</f>
        <v>0.49193936810650885</v>
      </c>
      <c r="E60" t="s">
        <v>95</v>
      </c>
    </row>
    <row r="61" spans="2:6" ht="15.75">
      <c r="B61" t="s">
        <v>88</v>
      </c>
      <c r="D61" s="11">
        <f>MIN(0.12*(1+SQRT(200/(D46*1000))*(100*D59/(D46*1000*1000)*D26)^(1/3))*1000*0.9*D46,0.035*(1+SQRT(200/(D46*1000)))^1.5*D26^0.5)*D46*1000</f>
        <v>227.86212250232055</v>
      </c>
      <c r="E61" t="s">
        <v>89</v>
      </c>
    </row>
    <row r="62" spans="2:6">
      <c r="D62" s="11"/>
    </row>
    <row r="63" spans="2:6">
      <c r="B63" t="s">
        <v>463</v>
      </c>
      <c r="D63" s="11">
        <f>(D45/D30)*(D7*1000/D30)</f>
        <v>4600</v>
      </c>
      <c r="E63" t="s">
        <v>5</v>
      </c>
    </row>
    <row r="64" spans="2:6">
      <c r="B64" t="s">
        <v>585</v>
      </c>
      <c r="D64">
        <f>3*(D5+D13)</f>
        <v>21</v>
      </c>
      <c r="E64" t="s">
        <v>21</v>
      </c>
      <c r="F64" s="19"/>
    </row>
    <row r="65" spans="1:8">
      <c r="B65" t="s">
        <v>595</v>
      </c>
      <c r="D65" s="15">
        <f>(2*D7*1000)/D35</f>
        <v>476.19047619047615</v>
      </c>
      <c r="E65" t="s">
        <v>393</v>
      </c>
      <c r="F65" s="19"/>
    </row>
    <row r="68" spans="1:8">
      <c r="A68" s="2" t="s">
        <v>26</v>
      </c>
    </row>
    <row r="69" spans="1:8" ht="15.75" thickBot="1">
      <c r="B69" s="1" t="s">
        <v>1</v>
      </c>
      <c r="C69" s="1" t="s">
        <v>2</v>
      </c>
      <c r="D69" s="1" t="s">
        <v>3</v>
      </c>
      <c r="E69" s="1" t="s">
        <v>616</v>
      </c>
      <c r="F69" s="1" t="s">
        <v>4</v>
      </c>
      <c r="G69" s="1" t="s">
        <v>643</v>
      </c>
      <c r="H69" s="1" t="s">
        <v>3</v>
      </c>
    </row>
    <row r="70" spans="1:8">
      <c r="A70" t="s">
        <v>37</v>
      </c>
      <c r="B70" t="s">
        <v>152</v>
      </c>
      <c r="C70">
        <f>D63*D32*D31</f>
        <v>7360.0000000000009</v>
      </c>
      <c r="D70" t="s">
        <v>48</v>
      </c>
      <c r="E70" t="s">
        <v>670</v>
      </c>
      <c r="F70" t="s">
        <v>674</v>
      </c>
      <c r="G70" s="29">
        <f>D63*D31</f>
        <v>46000</v>
      </c>
      <c r="H70" t="s">
        <v>21</v>
      </c>
    </row>
    <row r="71" spans="1:8">
      <c r="G71" s="29"/>
    </row>
    <row r="72" spans="1:8">
      <c r="A72" t="s">
        <v>170</v>
      </c>
      <c r="B72" t="s">
        <v>591</v>
      </c>
      <c r="C72" s="15">
        <f>2*2*(((D5+D13)*0.5)*D41)</f>
        <v>4256</v>
      </c>
      <c r="D72" t="s">
        <v>49</v>
      </c>
      <c r="E72" t="s">
        <v>655</v>
      </c>
      <c r="F72" t="s">
        <v>592</v>
      </c>
      <c r="G72" s="29">
        <f>C72</f>
        <v>4256</v>
      </c>
      <c r="H72" t="s">
        <v>49</v>
      </c>
    </row>
    <row r="73" spans="1:8">
      <c r="B73" t="s">
        <v>587</v>
      </c>
      <c r="C73" s="15">
        <f>2*2*(((D36+D64)/2)*D41)*D37</f>
        <v>2774.3040000000001</v>
      </c>
      <c r="D73" t="s">
        <v>159</v>
      </c>
      <c r="E73" t="s">
        <v>653</v>
      </c>
      <c r="G73" s="29">
        <f>C73/D37</f>
        <v>16416</v>
      </c>
      <c r="H73" t="s">
        <v>49</v>
      </c>
    </row>
    <row r="74" spans="1:8">
      <c r="G74" s="29"/>
    </row>
    <row r="75" spans="1:8">
      <c r="A75" t="s">
        <v>42</v>
      </c>
      <c r="B75" t="s">
        <v>96</v>
      </c>
      <c r="C75" s="15">
        <f>(IF(D4=0,(D45+D46)*D46*2+(D13+D46)*D46*2,(D45+D46)*D46*2+(D13+D46)*D46*2+2*D13*0.4))*D7*1000</f>
        <v>33520</v>
      </c>
      <c r="D75" t="s">
        <v>48</v>
      </c>
      <c r="E75" t="s">
        <v>617</v>
      </c>
      <c r="G75" s="29">
        <f>C75</f>
        <v>33520</v>
      </c>
      <c r="H75" t="s">
        <v>48</v>
      </c>
    </row>
    <row r="76" spans="1:8">
      <c r="B76" t="s">
        <v>99</v>
      </c>
      <c r="C76">
        <f>(CEILING((2.4*D59*7850/1000000)/D46,5))*C75/1000</f>
        <v>7374.4</v>
      </c>
      <c r="D76" t="s">
        <v>159</v>
      </c>
      <c r="E76" s="13" t="s">
        <v>620</v>
      </c>
      <c r="F76" s="13"/>
      <c r="G76" s="29">
        <f>C76*1000</f>
        <v>7374400</v>
      </c>
      <c r="H76" t="s">
        <v>644</v>
      </c>
    </row>
    <row r="77" spans="1:8">
      <c r="B77" t="s">
        <v>588</v>
      </c>
      <c r="C77">
        <f>2*(D64*D7*1000*D37)</f>
        <v>7098.0000000000009</v>
      </c>
      <c r="D77" t="s">
        <v>159</v>
      </c>
      <c r="E77" s="13" t="s">
        <v>653</v>
      </c>
      <c r="F77" s="13"/>
      <c r="G77" s="54">
        <f>C77/D37</f>
        <v>42000</v>
      </c>
      <c r="H77" s="13" t="s">
        <v>49</v>
      </c>
    </row>
    <row r="78" spans="1:8">
      <c r="B78" t="s">
        <v>455</v>
      </c>
      <c r="C78" s="15">
        <f>D65*D33</f>
        <v>2380.9523809523807</v>
      </c>
      <c r="D78" t="s">
        <v>48</v>
      </c>
      <c r="E78" s="13" t="s">
        <v>657</v>
      </c>
      <c r="F78" s="13" t="s">
        <v>685</v>
      </c>
      <c r="G78" s="54">
        <f>D65</f>
        <v>476.19047619047615</v>
      </c>
      <c r="H78" s="13" t="s">
        <v>487</v>
      </c>
    </row>
    <row r="79" spans="1:8">
      <c r="C79" s="15">
        <f>D65*D34/1000</f>
        <v>84.228571428571414</v>
      </c>
      <c r="D79" t="s">
        <v>159</v>
      </c>
      <c r="E79" s="13"/>
      <c r="F79" s="13"/>
      <c r="G79" s="54"/>
      <c r="H79" s="13"/>
    </row>
    <row r="80" spans="1:8">
      <c r="E80" s="13"/>
      <c r="F80" s="13"/>
      <c r="G80" s="54"/>
      <c r="H80" s="13"/>
    </row>
    <row r="81" spans="1:8">
      <c r="A81" t="s">
        <v>179</v>
      </c>
      <c r="B81" t="s">
        <v>27</v>
      </c>
      <c r="C81">
        <f>(IF(D4=0,((2*D12)+(D3*D11))*D16*D7,((4*D12)+(D3*D11))*D16*D7))*1000</f>
        <v>1148</v>
      </c>
      <c r="D81" t="s">
        <v>48</v>
      </c>
      <c r="E81" t="s">
        <v>635</v>
      </c>
      <c r="F81" t="s">
        <v>645</v>
      </c>
      <c r="G81" s="29">
        <f>C81*2.5*1000</f>
        <v>2870000</v>
      </c>
      <c r="H81" t="s">
        <v>644</v>
      </c>
    </row>
    <row r="82" spans="1:8">
      <c r="B82" s="13" t="s">
        <v>601</v>
      </c>
      <c r="C82" s="30">
        <f>(IF(D4=0,((2*D12)+(D3*D11))*D7,((4*D12)+(D3*D11))*D7))*1000</f>
        <v>16400</v>
      </c>
      <c r="D82" s="13" t="s">
        <v>49</v>
      </c>
      <c r="E82" s="13" t="s">
        <v>668</v>
      </c>
      <c r="F82" s="49" t="s">
        <v>607</v>
      </c>
      <c r="G82" s="54">
        <f>C82</f>
        <v>16400</v>
      </c>
      <c r="H82" s="13" t="s">
        <v>49</v>
      </c>
    </row>
    <row r="83" spans="1:8">
      <c r="B83" s="13"/>
      <c r="C83" s="13"/>
      <c r="D83" s="13"/>
      <c r="E83" s="13"/>
      <c r="F83" s="13"/>
      <c r="G83" s="54"/>
      <c r="H83" s="13"/>
    </row>
    <row r="84" spans="1:8">
      <c r="A84" t="s">
        <v>180</v>
      </c>
      <c r="B84" s="13" t="s">
        <v>27</v>
      </c>
      <c r="C84" s="30">
        <f>IF(D4=0,((2*D12)+(D3*D11))*D16*(2*D42),((4*D12)+(D3*D11))*D16*(2*D42))</f>
        <v>698.07840151089044</v>
      </c>
      <c r="D84" s="13" t="s">
        <v>48</v>
      </c>
      <c r="E84" s="13" t="s">
        <v>635</v>
      </c>
      <c r="F84" s="13" t="s">
        <v>645</v>
      </c>
      <c r="G84" s="54">
        <f>C84*2.5*1000</f>
        <v>1745196.003777226</v>
      </c>
      <c r="H84" s="13" t="s">
        <v>644</v>
      </c>
    </row>
    <row r="85" spans="1:8">
      <c r="B85" s="13" t="s">
        <v>29</v>
      </c>
      <c r="C85" s="30">
        <f>IF(D4=0,((2*D12)+(D3*D11))*(D17+D18)*(2*D42),((4*D12)+(D3*D11))*(D17+D18)*(2*D42))</f>
        <v>2493.1371482531799</v>
      </c>
      <c r="D85" s="13" t="s">
        <v>48</v>
      </c>
      <c r="E85" s="13" t="s">
        <v>638</v>
      </c>
      <c r="F85" s="13" t="s">
        <v>645</v>
      </c>
      <c r="G85" s="54">
        <f>C85*2.5*1000</f>
        <v>6232842.8706329493</v>
      </c>
      <c r="H85" s="13" t="s">
        <v>644</v>
      </c>
    </row>
    <row r="86" spans="1:8">
      <c r="B86" s="13" t="s">
        <v>601</v>
      </c>
      <c r="C86" s="30">
        <f>IF(D4=0,((2*D12)+(D3*D11))*2*(2*D42),((4*D12)+(D3*D11))*2*(2*D42))</f>
        <v>19945.097186025439</v>
      </c>
      <c r="D86" s="13" t="s">
        <v>49</v>
      </c>
      <c r="E86" s="13" t="s">
        <v>668</v>
      </c>
      <c r="F86" s="49" t="s">
        <v>602</v>
      </c>
      <c r="G86" s="54">
        <f>C86</f>
        <v>19945.097186025439</v>
      </c>
      <c r="H86" s="13" t="s">
        <v>49</v>
      </c>
    </row>
    <row r="87" spans="1:8">
      <c r="B87" s="13" t="s">
        <v>30</v>
      </c>
      <c r="C87" s="30">
        <f>IF(D4=0,((2*D12)+(D3*D11))*(2*D42),((4*D12)+(D3*D11))*(2*D42))</f>
        <v>9972.5485930127197</v>
      </c>
      <c r="D87" s="13" t="s">
        <v>49</v>
      </c>
      <c r="E87" s="13" t="s">
        <v>623</v>
      </c>
      <c r="F87" s="13"/>
      <c r="G87" s="29">
        <f>C87*0.25</f>
        <v>2493.1371482531799</v>
      </c>
      <c r="H87" t="s">
        <v>48</v>
      </c>
    </row>
    <row r="88" spans="1:8">
      <c r="B88" s="13" t="s">
        <v>31</v>
      </c>
      <c r="C88" s="30">
        <f>IF(D4=0,((2*D12)+(D3*D11))*D20*(2*D42),((4*D12)+(D3*D11))*D20*(2*D42))</f>
        <v>4986.2742965063599</v>
      </c>
      <c r="D88" s="13" t="s">
        <v>48</v>
      </c>
      <c r="E88" s="13" t="s">
        <v>639</v>
      </c>
      <c r="F88" s="13"/>
      <c r="G88" s="29">
        <f>C88</f>
        <v>4986.2742965063599</v>
      </c>
      <c r="H88" t="s">
        <v>48</v>
      </c>
    </row>
    <row r="89" spans="1:8">
      <c r="B89" s="13"/>
      <c r="C89" s="13"/>
      <c r="D89" s="13"/>
      <c r="E89" s="13"/>
      <c r="F89" s="13"/>
      <c r="G89" s="29"/>
    </row>
    <row r="90" spans="1:8">
      <c r="A90" t="s">
        <v>181</v>
      </c>
      <c r="B90" s="13" t="s">
        <v>53</v>
      </c>
      <c r="C90" s="13">
        <f>((IF(D4=0,2*D7,4*D7))*1000)/1000</f>
        <v>4</v>
      </c>
      <c r="D90" s="13" t="s">
        <v>10</v>
      </c>
      <c r="E90" s="13" t="s">
        <v>621</v>
      </c>
      <c r="F90" s="49" t="s">
        <v>56</v>
      </c>
      <c r="G90" s="29">
        <f>C90*1000</f>
        <v>4000</v>
      </c>
      <c r="H90" t="s">
        <v>21</v>
      </c>
    </row>
    <row r="91" spans="1:8">
      <c r="B91" t="s">
        <v>54</v>
      </c>
      <c r="C91">
        <f>((((D3-(D4+1))*(D21/100)*D7))*1000)/1000</f>
        <v>0.5</v>
      </c>
      <c r="D91" t="s">
        <v>10</v>
      </c>
      <c r="E91" t="s">
        <v>621</v>
      </c>
      <c r="F91" s="4" t="s">
        <v>55</v>
      </c>
      <c r="G91" s="29">
        <f>C91*1000</f>
        <v>500</v>
      </c>
      <c r="H91" t="s">
        <v>21</v>
      </c>
    </row>
    <row r="92" spans="1:8">
      <c r="G92" s="29"/>
    </row>
    <row r="93" spans="1:8">
      <c r="A93" t="s">
        <v>182</v>
      </c>
      <c r="B93" t="s">
        <v>53</v>
      </c>
      <c r="C93" s="9">
        <f>(2*(IF(D4=0,2*D42,4*D42)))/1000</f>
        <v>2.4323289251250539</v>
      </c>
      <c r="D93" t="s">
        <v>10</v>
      </c>
      <c r="E93" t="s">
        <v>621</v>
      </c>
      <c r="G93" s="29">
        <f>C93*1000</f>
        <v>2432.328925125054</v>
      </c>
      <c r="H93" t="s">
        <v>21</v>
      </c>
    </row>
    <row r="94" spans="1:8">
      <c r="B94" t="s">
        <v>54</v>
      </c>
      <c r="C94" s="9">
        <f>(2*((D3-(D4+1))*(D21/100)*D42))/1000</f>
        <v>0.30404111564063174</v>
      </c>
      <c r="D94" t="s">
        <v>10</v>
      </c>
      <c r="E94" t="s">
        <v>621</v>
      </c>
      <c r="G94" s="29">
        <f>C94*1000</f>
        <v>304.04111564063174</v>
      </c>
      <c r="H94" t="s">
        <v>21</v>
      </c>
    </row>
    <row r="95" spans="1:8">
      <c r="E95" s="13"/>
      <c r="G95" s="29"/>
    </row>
    <row r="96" spans="1:8">
      <c r="A96" t="s">
        <v>175</v>
      </c>
      <c r="B96" t="s">
        <v>172</v>
      </c>
      <c r="C96" s="15">
        <f>((D45+2*D46)*(D13+D5+2*D46)*D7)*1000</f>
        <v>160719.99999999997</v>
      </c>
      <c r="D96" t="s">
        <v>48</v>
      </c>
      <c r="E96" s="13" t="s">
        <v>699</v>
      </c>
      <c r="F96" s="12" t="s">
        <v>51</v>
      </c>
      <c r="G96" s="29">
        <f t="shared" ref="G96:G97" si="0">C96</f>
        <v>160719.99999999997</v>
      </c>
      <c r="H96" t="s">
        <v>48</v>
      </c>
    </row>
    <row r="97" spans="1:8">
      <c r="B97" t="s">
        <v>174</v>
      </c>
      <c r="C97" s="15">
        <f>2*((D41*(D5+D13+D46)*0.5)+(D43*D42))*D45</f>
        <v>53700.073055575245</v>
      </c>
      <c r="D97" t="s">
        <v>48</v>
      </c>
      <c r="E97" s="13" t="s">
        <v>699</v>
      </c>
      <c r="F97" s="12" t="s">
        <v>51</v>
      </c>
      <c r="G97" s="29">
        <f t="shared" si="0"/>
        <v>53700.073055575245</v>
      </c>
      <c r="H97" t="s">
        <v>48</v>
      </c>
    </row>
    <row r="98" spans="1:8">
      <c r="B98" t="s">
        <v>173</v>
      </c>
      <c r="C98" s="15">
        <f>((D45+2*D46)*(D5)*D7)*1000</f>
        <v>39199.999999999993</v>
      </c>
      <c r="D98" t="s">
        <v>48</v>
      </c>
      <c r="E98" s="13" t="s">
        <v>699</v>
      </c>
      <c r="G98" s="29">
        <f t="shared" ref="G98" si="1">C98</f>
        <v>39199.999999999993</v>
      </c>
      <c r="H98" t="s">
        <v>48</v>
      </c>
    </row>
    <row r="99" spans="1:8">
      <c r="E99" s="13"/>
    </row>
    <row r="100" spans="1:8">
      <c r="A100" t="s">
        <v>589</v>
      </c>
      <c r="B100" t="s">
        <v>590</v>
      </c>
      <c r="C100" s="29">
        <f>300*D3*D7*1000</f>
        <v>1200000</v>
      </c>
      <c r="D100" t="s">
        <v>596</v>
      </c>
      <c r="E100" t="s">
        <v>675</v>
      </c>
      <c r="F100" t="s">
        <v>593</v>
      </c>
      <c r="G100" s="59">
        <f>C100</f>
        <v>1200000</v>
      </c>
      <c r="H100" t="s">
        <v>596</v>
      </c>
    </row>
    <row r="102" spans="1:8">
      <c r="A102" s="89"/>
    </row>
    <row r="103" spans="1:8">
      <c r="A103" s="87"/>
    </row>
  </sheetData>
  <phoneticPr fontId="23" type="noConversion"/>
  <conditionalFormatting sqref="F31:F32 F64:F65 F36">
    <cfRule type="containsText" dxfId="11" priority="7" operator="containsText" text="@">
      <formula>NOT(ISERROR(SEARCH("@",F31)))</formula>
    </cfRule>
  </conditionalFormatting>
  <conditionalFormatting sqref="F72">
    <cfRule type="containsText" dxfId="10" priority="2" operator="containsText" text="@">
      <formula>NOT(ISERROR(SEARCH("@",F72)))</formula>
    </cfRule>
  </conditionalFormatting>
  <hyperlinks>
    <hyperlink ref="F37" r:id="rId1"/>
  </hyperlinks>
  <pageMargins left="0.7" right="0.7" top="0.75" bottom="0.75" header="0.3" footer="0.3"/>
  <pageSetup paperSize="9" orientation="portrait" r:id="rId2"/>
  <extLst>
    <ext xmlns:x14="http://schemas.microsoft.com/office/spreadsheetml/2009/9/main" uri="{78C0D931-6437-407d-A8EE-F0AAD7539E65}">
      <x14:conditionalFormattings>
        <x14:conditionalFormatting xmlns:xm="http://schemas.microsoft.com/office/excel/2006/main">
          <x14:cfRule type="containsText" priority="8" operator="containsText" text="@" id="{CB1B3ED3-12AE-489E-B000-2AB489FB61C6}">
            <xm:f>NOT(ISERROR(SEARCH("@",'Open bak'!F32)))</xm:f>
            <x14:dxf>
              <fill>
                <patternFill>
                  <bgColor rgb="FFFFFF00"/>
                </patternFill>
              </fill>
            </x14:dxf>
          </x14:cfRule>
          <xm:sqref>F33:F35</xm:sqref>
        </x14:conditionalFormatting>
        <x14:conditionalFormatting xmlns:xm="http://schemas.microsoft.com/office/excel/2006/main">
          <x14:cfRule type="containsText" priority="4" operator="containsText" text="@" id="{99D8EF77-CD0B-4C8D-BDD1-48B4A96610E1}">
            <xm:f>NOT(ISERROR(SEARCH("@",'Open bak'!F36)))</xm:f>
            <x14:dxf>
              <fill>
                <patternFill>
                  <bgColor rgb="FFFFFF00"/>
                </patternFill>
              </fill>
            </x14:dxf>
          </x14:cfRule>
          <xm:sqref>F32</xm:sqref>
        </x14:conditionalFormatting>
        <x14:conditionalFormatting xmlns:xm="http://schemas.microsoft.com/office/excel/2006/main">
          <x14:cfRule type="containsText" priority="9" operator="containsText" text="@" id="{CB1B3ED3-12AE-489E-B000-2AB489FB61C6}">
            <xm:f>NOT(ISERROR(SEARCH("@",'Open bak'!F30)))</xm:f>
            <x14:dxf>
              <fill>
                <patternFill>
                  <bgColor rgb="FFFFFF00"/>
                </patternFill>
              </fill>
            </x14:dxf>
          </x14:cfRule>
          <xm:sqref>F30 F37:F38</xm:sqref>
        </x14:conditionalFormatting>
      </x14:conditionalFormattings>
    </ext>
  </extLst>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6">
    <tabColor theme="5"/>
  </sheetPr>
  <dimension ref="A1:H87"/>
  <sheetViews>
    <sheetView topLeftCell="A37" zoomScale="70" zoomScaleNormal="70" workbookViewId="0">
      <selection activeCell="A86" sqref="A86:A88"/>
    </sheetView>
  </sheetViews>
  <sheetFormatPr defaultRowHeight="15"/>
  <cols>
    <col min="1" max="1" width="36" customWidth="1"/>
    <col min="2" max="2" width="52.85546875" bestFit="1" customWidth="1"/>
    <col min="3" max="3" width="9.140625" bestFit="1" customWidth="1"/>
    <col min="4" max="4" width="11" bestFit="1" customWidth="1"/>
    <col min="5" max="5" width="82.5703125" bestFit="1" customWidth="1"/>
    <col min="6" max="6" width="59.28515625" customWidth="1"/>
    <col min="7" max="7" width="15.85546875" bestFit="1" customWidth="1"/>
    <col min="8" max="8" width="11" bestFit="1" customWidth="1"/>
    <col min="9" max="9" width="15.42578125" bestFit="1" customWidth="1"/>
    <col min="10" max="10" width="10.7109375" bestFit="1" customWidth="1"/>
  </cols>
  <sheetData>
    <row r="1" spans="1:6">
      <c r="A1" s="2" t="s">
        <v>0</v>
      </c>
    </row>
    <row r="2" spans="1:6" ht="15.75" thickBot="1">
      <c r="B2" s="1" t="s">
        <v>1</v>
      </c>
      <c r="C2" s="1"/>
      <c r="D2" s="1" t="s">
        <v>2</v>
      </c>
      <c r="E2" s="1" t="s">
        <v>3</v>
      </c>
      <c r="F2" s="1" t="s">
        <v>4</v>
      </c>
    </row>
    <row r="3" spans="1:6">
      <c r="B3" t="s">
        <v>7</v>
      </c>
      <c r="D3">
        <v>6</v>
      </c>
      <c r="E3" t="s">
        <v>5</v>
      </c>
      <c r="F3" t="s">
        <v>100</v>
      </c>
    </row>
    <row r="4" spans="1:6">
      <c r="B4" t="s">
        <v>437</v>
      </c>
      <c r="D4">
        <v>1</v>
      </c>
      <c r="E4" t="s">
        <v>10</v>
      </c>
    </row>
    <row r="6" spans="1:6">
      <c r="A6" s="2" t="s">
        <v>11</v>
      </c>
    </row>
    <row r="7" spans="1:6" ht="15.75" thickBot="1">
      <c r="B7" s="1" t="s">
        <v>1</v>
      </c>
      <c r="C7" s="1"/>
      <c r="D7" s="1" t="s">
        <v>2</v>
      </c>
      <c r="E7" s="1" t="s">
        <v>3</v>
      </c>
      <c r="F7" s="1" t="s">
        <v>4</v>
      </c>
    </row>
    <row r="8" spans="1:6">
      <c r="B8" t="s">
        <v>15</v>
      </c>
      <c r="D8">
        <v>3.5</v>
      </c>
      <c r="E8" t="s">
        <v>21</v>
      </c>
    </row>
    <row r="9" spans="1:6">
      <c r="B9" t="s">
        <v>13</v>
      </c>
      <c r="D9">
        <v>0.6</v>
      </c>
      <c r="E9" t="s">
        <v>21</v>
      </c>
      <c r="F9" t="s">
        <v>101</v>
      </c>
    </row>
    <row r="10" spans="1:6">
      <c r="B10" t="s">
        <v>436</v>
      </c>
      <c r="D10">
        <v>5</v>
      </c>
      <c r="E10" t="s">
        <v>21</v>
      </c>
    </row>
    <row r="11" spans="1:6">
      <c r="B11" t="s">
        <v>452</v>
      </c>
      <c r="D11">
        <v>0.2</v>
      </c>
      <c r="E11" t="s">
        <v>21</v>
      </c>
      <c r="F11" s="13"/>
    </row>
    <row r="12" spans="1:6">
      <c r="B12" t="s">
        <v>451</v>
      </c>
      <c r="D12">
        <v>1</v>
      </c>
      <c r="E12" t="s">
        <v>21</v>
      </c>
      <c r="F12" s="25"/>
    </row>
    <row r="13" spans="1:6">
      <c r="B13" t="s">
        <v>450</v>
      </c>
      <c r="D13">
        <v>1</v>
      </c>
      <c r="E13" t="s">
        <v>21</v>
      </c>
      <c r="F13" t="s">
        <v>438</v>
      </c>
    </row>
    <row r="14" spans="1:6">
      <c r="B14" t="s">
        <v>99</v>
      </c>
      <c r="D14">
        <v>0.12</v>
      </c>
      <c r="E14" t="s">
        <v>364</v>
      </c>
      <c r="F14" s="19"/>
    </row>
    <row r="15" spans="1:6">
      <c r="B15" t="s">
        <v>16</v>
      </c>
      <c r="D15">
        <v>7.0000000000000007E-2</v>
      </c>
      <c r="E15" t="s">
        <v>21</v>
      </c>
    </row>
    <row r="16" spans="1:6">
      <c r="B16" t="s">
        <v>17</v>
      </c>
      <c r="D16">
        <v>7.0000000000000007E-2</v>
      </c>
      <c r="E16" t="s">
        <v>21</v>
      </c>
      <c r="F16" t="s">
        <v>45</v>
      </c>
    </row>
    <row r="17" spans="1:6">
      <c r="B17" t="s">
        <v>18</v>
      </c>
      <c r="D17">
        <v>0.18</v>
      </c>
      <c r="E17" t="s">
        <v>21</v>
      </c>
      <c r="F17" t="s">
        <v>45</v>
      </c>
    </row>
    <row r="18" spans="1:6">
      <c r="B18" t="s">
        <v>19</v>
      </c>
      <c r="D18">
        <v>0.25</v>
      </c>
      <c r="E18" t="s">
        <v>21</v>
      </c>
      <c r="F18" t="s">
        <v>46</v>
      </c>
    </row>
    <row r="19" spans="1:6">
      <c r="B19" t="s">
        <v>20</v>
      </c>
      <c r="D19">
        <v>0.5</v>
      </c>
      <c r="E19" t="s">
        <v>21</v>
      </c>
      <c r="F19" t="s">
        <v>47</v>
      </c>
    </row>
    <row r="20" spans="1:6">
      <c r="B20" t="s">
        <v>14</v>
      </c>
      <c r="D20" s="23">
        <v>0.25</v>
      </c>
    </row>
    <row r="21" spans="1:6">
      <c r="B21" t="s">
        <v>122</v>
      </c>
      <c r="D21">
        <v>40</v>
      </c>
      <c r="E21" s="13" t="s">
        <v>123</v>
      </c>
      <c r="F21" t="s">
        <v>124</v>
      </c>
    </row>
    <row r="22" spans="1:6">
      <c r="B22" t="s">
        <v>443</v>
      </c>
      <c r="D22">
        <v>4</v>
      </c>
      <c r="E22" s="13"/>
    </row>
    <row r="23" spans="1:6">
      <c r="B23" t="s">
        <v>458</v>
      </c>
      <c r="D23">
        <v>0.16900000000000001</v>
      </c>
      <c r="E23" s="13" t="s">
        <v>459</v>
      </c>
      <c r="F23" s="24" t="s">
        <v>460</v>
      </c>
    </row>
    <row r="24" spans="1:6">
      <c r="B24" t="s">
        <v>461</v>
      </c>
      <c r="D24">
        <v>2</v>
      </c>
      <c r="E24" t="s">
        <v>21</v>
      </c>
    </row>
    <row r="25" spans="1:6">
      <c r="B25" t="s">
        <v>471</v>
      </c>
      <c r="D25">
        <v>5</v>
      </c>
      <c r="E25" s="13" t="s">
        <v>472</v>
      </c>
      <c r="F25" t="s">
        <v>475</v>
      </c>
    </row>
    <row r="26" spans="1:6">
      <c r="B26" t="s">
        <v>477</v>
      </c>
      <c r="D26">
        <f>12*14.74</f>
        <v>176.88</v>
      </c>
      <c r="E26" s="13" t="s">
        <v>478</v>
      </c>
      <c r="F26" t="s">
        <v>479</v>
      </c>
    </row>
    <row r="27" spans="1:6">
      <c r="B27" t="s">
        <v>473</v>
      </c>
      <c r="D27">
        <v>4.2</v>
      </c>
      <c r="E27" t="s">
        <v>21</v>
      </c>
      <c r="F27" t="s">
        <v>474</v>
      </c>
    </row>
    <row r="29" spans="1:6">
      <c r="A29" s="2" t="s">
        <v>136</v>
      </c>
    </row>
    <row r="30" spans="1:6">
      <c r="B30" t="s">
        <v>176</v>
      </c>
      <c r="D30">
        <f>D21*D10</f>
        <v>200</v>
      </c>
      <c r="E30" t="s">
        <v>21</v>
      </c>
    </row>
    <row r="31" spans="1:6">
      <c r="B31" t="s">
        <v>178</v>
      </c>
      <c r="D31" s="9">
        <f>SQRT((D10^2)+(D30^2))</f>
        <v>200.06249023742558</v>
      </c>
      <c r="E31" t="s">
        <v>21</v>
      </c>
    </row>
    <row r="32" spans="1:6">
      <c r="B32" t="s">
        <v>129</v>
      </c>
      <c r="D32">
        <f>SUM(D16:D19)</f>
        <v>1</v>
      </c>
      <c r="E32" t="s">
        <v>21</v>
      </c>
    </row>
    <row r="33" spans="1:8">
      <c r="B33" t="s">
        <v>144</v>
      </c>
      <c r="D33">
        <f>D8*D3+4*D9</f>
        <v>23.4</v>
      </c>
      <c r="E33" t="s">
        <v>21</v>
      </c>
    </row>
    <row r="34" spans="1:8">
      <c r="B34" t="s">
        <v>445</v>
      </c>
      <c r="D34">
        <f>D33+2*D11</f>
        <v>23.799999999999997</v>
      </c>
      <c r="E34" t="s">
        <v>21</v>
      </c>
    </row>
    <row r="35" spans="1:8">
      <c r="B35" t="s">
        <v>446</v>
      </c>
      <c r="D35">
        <f>D10+D13</f>
        <v>6</v>
      </c>
      <c r="E35" t="s">
        <v>21</v>
      </c>
    </row>
    <row r="36" spans="1:8">
      <c r="B36" t="s">
        <v>463</v>
      </c>
      <c r="D36">
        <f>(D34/D24)*(D4*1000/D24)</f>
        <v>5949.9999999999991</v>
      </c>
      <c r="E36" t="s">
        <v>393</v>
      </c>
    </row>
    <row r="37" spans="1:8">
      <c r="B37" t="s">
        <v>462</v>
      </c>
      <c r="D37">
        <v>10</v>
      </c>
      <c r="E37" t="s">
        <v>21</v>
      </c>
    </row>
    <row r="38" spans="1:8">
      <c r="B38" t="s">
        <v>476</v>
      </c>
      <c r="D38" s="15">
        <f>D4*1000/D27*2</f>
        <v>476.19047619047615</v>
      </c>
      <c r="E38" t="s">
        <v>393</v>
      </c>
    </row>
    <row r="39" spans="1:8">
      <c r="B39" t="s">
        <v>464</v>
      </c>
      <c r="D39">
        <f>0.4*0.4</f>
        <v>0.16000000000000003</v>
      </c>
      <c r="E39" t="s">
        <v>49</v>
      </c>
    </row>
    <row r="40" spans="1:8">
      <c r="B40" t="s">
        <v>453</v>
      </c>
      <c r="D40">
        <f>3*D10</f>
        <v>15</v>
      </c>
      <c r="E40" t="s">
        <v>21</v>
      </c>
      <c r="F40" s="19" t="s">
        <v>454</v>
      </c>
    </row>
    <row r="41" spans="1:8">
      <c r="B41" t="s">
        <v>444</v>
      </c>
      <c r="D41">
        <f>D3-2</f>
        <v>4</v>
      </c>
    </row>
    <row r="44" spans="1:8">
      <c r="A44" s="2" t="s">
        <v>26</v>
      </c>
      <c r="B44" s="3" t="s">
        <v>439</v>
      </c>
      <c r="F44" t="s">
        <v>467</v>
      </c>
    </row>
    <row r="45" spans="1:8" ht="15.75" thickBot="1">
      <c r="B45" s="1" t="s">
        <v>1</v>
      </c>
      <c r="C45" s="1" t="s">
        <v>2</v>
      </c>
      <c r="D45" s="1" t="s">
        <v>3</v>
      </c>
      <c r="E45" s="1" t="s">
        <v>616</v>
      </c>
      <c r="F45" s="1" t="s">
        <v>4</v>
      </c>
      <c r="G45" s="1" t="s">
        <v>643</v>
      </c>
      <c r="H45" s="1" t="s">
        <v>3</v>
      </c>
    </row>
    <row r="46" spans="1:8">
      <c r="A46" s="21" t="s">
        <v>447</v>
      </c>
    </row>
    <row r="47" spans="1:8">
      <c r="C47" s="15"/>
      <c r="F47" s="4" t="s">
        <v>470</v>
      </c>
    </row>
    <row r="48" spans="1:8">
      <c r="A48" t="s">
        <v>594</v>
      </c>
      <c r="B48" t="s">
        <v>456</v>
      </c>
      <c r="C48" s="15">
        <f>D10*D4*1000*2</f>
        <v>10000</v>
      </c>
      <c r="D48" t="s">
        <v>49</v>
      </c>
      <c r="E48" t="s">
        <v>655</v>
      </c>
      <c r="F48" s="4"/>
      <c r="G48" s="15">
        <f>C48</f>
        <v>10000</v>
      </c>
      <c r="H48" t="s">
        <v>49</v>
      </c>
    </row>
    <row r="49" spans="1:8">
      <c r="B49" t="s">
        <v>457</v>
      </c>
      <c r="C49" s="15">
        <f>D23*D40*D4*1000*2</f>
        <v>5070</v>
      </c>
      <c r="D49" t="s">
        <v>159</v>
      </c>
      <c r="E49" t="s">
        <v>653</v>
      </c>
      <c r="F49" s="4"/>
      <c r="G49">
        <f>C49/D23</f>
        <v>29999.999999999996</v>
      </c>
      <c r="H49" t="s">
        <v>49</v>
      </c>
    </row>
    <row r="50" spans="1:8">
      <c r="B50" t="s">
        <v>455</v>
      </c>
      <c r="C50" s="30">
        <f>D25*D38</f>
        <v>2380.9523809523807</v>
      </c>
      <c r="D50" s="13" t="s">
        <v>48</v>
      </c>
      <c r="E50" s="13" t="s">
        <v>657</v>
      </c>
      <c r="F50" s="49" t="s">
        <v>685</v>
      </c>
      <c r="G50" s="54">
        <f>D38</f>
        <v>476.19047619047615</v>
      </c>
      <c r="H50" s="13" t="s">
        <v>487</v>
      </c>
    </row>
    <row r="51" spans="1:8">
      <c r="C51" s="30">
        <f>D26/1000*D38</f>
        <v>84.228571428571414</v>
      </c>
      <c r="D51" s="13" t="s">
        <v>159</v>
      </c>
      <c r="E51" s="13"/>
      <c r="F51" s="49"/>
      <c r="G51" s="29"/>
    </row>
    <row r="52" spans="1:8">
      <c r="F52" s="4"/>
    </row>
    <row r="53" spans="1:8">
      <c r="A53" t="s">
        <v>441</v>
      </c>
      <c r="B53" t="s">
        <v>466</v>
      </c>
      <c r="C53">
        <f>D34*D4*1000*D13</f>
        <v>23799.999999999996</v>
      </c>
      <c r="D53" t="s">
        <v>48</v>
      </c>
      <c r="E53" s="13" t="s">
        <v>687</v>
      </c>
      <c r="F53" s="4" t="s">
        <v>468</v>
      </c>
      <c r="G53" s="13">
        <f>C53</f>
        <v>23799.999999999996</v>
      </c>
      <c r="H53" s="13" t="s">
        <v>48</v>
      </c>
    </row>
    <row r="54" spans="1:8">
      <c r="C54">
        <f>D34*D4*1000*D12</f>
        <v>23799.999999999996</v>
      </c>
      <c r="D54" t="s">
        <v>48</v>
      </c>
      <c r="E54" s="13" t="s">
        <v>652</v>
      </c>
      <c r="F54" s="49"/>
      <c r="G54">
        <f>C54</f>
        <v>23799.999999999996</v>
      </c>
      <c r="H54" t="s">
        <v>48</v>
      </c>
    </row>
    <row r="55" spans="1:8">
      <c r="B55" t="s">
        <v>465</v>
      </c>
      <c r="C55">
        <f>D39*D37*D36</f>
        <v>9520</v>
      </c>
      <c r="D55" t="s">
        <v>48</v>
      </c>
      <c r="E55" t="s">
        <v>670</v>
      </c>
      <c r="F55" s="4" t="s">
        <v>469</v>
      </c>
      <c r="G55">
        <f>D37*D36</f>
        <v>59499.999999999993</v>
      </c>
      <c r="H55" t="s">
        <v>21</v>
      </c>
    </row>
    <row r="56" spans="1:8">
      <c r="B56" s="13"/>
      <c r="C56" s="13"/>
      <c r="D56" s="13"/>
      <c r="E56" s="13"/>
      <c r="F56" s="49"/>
      <c r="G56" s="13"/>
      <c r="H56" s="13"/>
    </row>
    <row r="57" spans="1:8">
      <c r="A57" t="s">
        <v>433</v>
      </c>
      <c r="B57" s="13" t="s">
        <v>27</v>
      </c>
      <c r="C57" s="13">
        <f>D4*1000*D15*D33</f>
        <v>1638</v>
      </c>
      <c r="D57" s="13" t="s">
        <v>48</v>
      </c>
      <c r="E57" s="13" t="s">
        <v>635</v>
      </c>
      <c r="F57" s="49" t="s">
        <v>645</v>
      </c>
      <c r="G57" s="13">
        <f>C57*2.5*1000</f>
        <v>4095000</v>
      </c>
      <c r="H57" s="13" t="s">
        <v>644</v>
      </c>
    </row>
    <row r="58" spans="1:8">
      <c r="B58" s="13" t="s">
        <v>601</v>
      </c>
      <c r="C58" s="30">
        <f>D4*1000*D33</f>
        <v>23400</v>
      </c>
      <c r="D58" s="13" t="s">
        <v>49</v>
      </c>
      <c r="E58" s="13" t="s">
        <v>668</v>
      </c>
      <c r="F58" s="49" t="s">
        <v>608</v>
      </c>
      <c r="G58" s="54">
        <f>C58</f>
        <v>23400</v>
      </c>
      <c r="H58" s="13" t="s">
        <v>49</v>
      </c>
    </row>
    <row r="59" spans="1:8">
      <c r="B59" s="13"/>
      <c r="C59" s="13"/>
      <c r="D59" s="13"/>
      <c r="E59" s="13"/>
      <c r="F59" s="49"/>
      <c r="G59" s="13"/>
      <c r="H59" s="13"/>
    </row>
    <row r="60" spans="1:8">
      <c r="A60" t="s">
        <v>440</v>
      </c>
      <c r="B60" s="13" t="s">
        <v>53</v>
      </c>
      <c r="C60" s="13">
        <f>D22*D4</f>
        <v>4</v>
      </c>
      <c r="D60" s="13" t="s">
        <v>10</v>
      </c>
      <c r="E60" s="13" t="s">
        <v>621</v>
      </c>
      <c r="F60" s="49"/>
      <c r="G60" s="54">
        <f>C60*1000</f>
        <v>4000</v>
      </c>
      <c r="H60" s="13" t="s">
        <v>21</v>
      </c>
    </row>
    <row r="61" spans="1:8">
      <c r="B61" s="13" t="s">
        <v>54</v>
      </c>
      <c r="C61" s="13">
        <f>D41*D20*D4</f>
        <v>1</v>
      </c>
      <c r="D61" s="13" t="s">
        <v>10</v>
      </c>
      <c r="E61" s="13" t="s">
        <v>621</v>
      </c>
      <c r="F61" s="49"/>
      <c r="G61" s="54">
        <f>C61*1000</f>
        <v>1000</v>
      </c>
      <c r="H61" s="13" t="s">
        <v>21</v>
      </c>
    </row>
    <row r="62" spans="1:8">
      <c r="B62" s="13"/>
      <c r="C62" s="13"/>
      <c r="D62" s="13"/>
      <c r="E62" s="13"/>
      <c r="F62" s="49"/>
      <c r="G62" s="13"/>
      <c r="H62" s="13"/>
    </row>
    <row r="63" spans="1:8">
      <c r="A63" t="s">
        <v>175</v>
      </c>
      <c r="B63" s="13" t="s">
        <v>435</v>
      </c>
      <c r="C63" s="30">
        <f>D34*D35*D4*1000</f>
        <v>142799.99999999997</v>
      </c>
      <c r="D63" s="13" t="s">
        <v>48</v>
      </c>
      <c r="E63" s="13" t="s">
        <v>699</v>
      </c>
      <c r="F63" s="90" t="s">
        <v>449</v>
      </c>
      <c r="G63" s="30">
        <f>C63</f>
        <v>142799.99999999997</v>
      </c>
      <c r="H63" s="13" t="s">
        <v>48</v>
      </c>
    </row>
    <row r="64" spans="1:8">
      <c r="B64" s="13"/>
      <c r="C64" s="30"/>
      <c r="D64" s="13"/>
      <c r="E64" s="13"/>
      <c r="F64" s="49"/>
      <c r="G64" s="13"/>
      <c r="H64" s="13"/>
    </row>
    <row r="65" spans="1:8">
      <c r="A65" t="s">
        <v>41</v>
      </c>
      <c r="B65" s="13" t="s">
        <v>41</v>
      </c>
      <c r="C65" s="30">
        <f>D4*1000</f>
        <v>1000</v>
      </c>
      <c r="D65" s="13" t="s">
        <v>21</v>
      </c>
      <c r="E65" s="13" t="s">
        <v>696</v>
      </c>
      <c r="F65" s="49"/>
      <c r="G65" s="30">
        <f>C65</f>
        <v>1000</v>
      </c>
      <c r="H65" s="13" t="s">
        <v>21</v>
      </c>
    </row>
    <row r="66" spans="1:8">
      <c r="B66" s="13"/>
      <c r="C66" s="13"/>
      <c r="D66" s="13"/>
      <c r="E66" s="13"/>
      <c r="F66" s="49"/>
      <c r="G66" s="13"/>
      <c r="H66" s="13"/>
    </row>
    <row r="67" spans="1:8">
      <c r="A67" s="3" t="s">
        <v>442</v>
      </c>
      <c r="B67" s="13"/>
      <c r="C67" s="13"/>
      <c r="D67" s="13"/>
      <c r="E67" s="13"/>
      <c r="F67" s="49" t="s">
        <v>448</v>
      </c>
      <c r="G67" s="13"/>
      <c r="H67" s="13"/>
    </row>
    <row r="68" spans="1:8">
      <c r="A68" t="s">
        <v>434</v>
      </c>
      <c r="B68" s="13"/>
      <c r="C68" s="30"/>
      <c r="D68" s="13"/>
      <c r="E68" s="13"/>
      <c r="F68" s="49"/>
      <c r="G68" s="13"/>
      <c r="H68" s="13"/>
    </row>
    <row r="69" spans="1:8">
      <c r="B69" s="13" t="s">
        <v>457</v>
      </c>
      <c r="C69" s="30">
        <f>2*2*D23*((6+D40)/2)*D30</f>
        <v>1419.6000000000001</v>
      </c>
      <c r="D69" s="13" t="s">
        <v>159</v>
      </c>
      <c r="E69" s="13" t="s">
        <v>653</v>
      </c>
      <c r="F69" s="49"/>
      <c r="G69" s="13">
        <f>C69/D23</f>
        <v>8400</v>
      </c>
      <c r="H69" s="13" t="s">
        <v>49</v>
      </c>
    </row>
    <row r="70" spans="1:8">
      <c r="B70" s="13" t="s">
        <v>456</v>
      </c>
      <c r="C70" s="30">
        <f>2*2*D30*((2+D10)/2)</f>
        <v>2800</v>
      </c>
      <c r="D70" s="13" t="s">
        <v>49</v>
      </c>
      <c r="E70" s="13" t="s">
        <v>655</v>
      </c>
      <c r="F70" s="49"/>
      <c r="G70" s="30">
        <f>C70</f>
        <v>2800</v>
      </c>
      <c r="H70" s="13" t="s">
        <v>49</v>
      </c>
    </row>
    <row r="71" spans="1:8">
      <c r="B71" s="13"/>
      <c r="C71" s="30"/>
      <c r="D71" s="13"/>
      <c r="E71" s="13"/>
      <c r="F71" s="49"/>
      <c r="G71" s="13"/>
      <c r="H71" s="13"/>
    </row>
    <row r="72" spans="1:8">
      <c r="B72" s="13"/>
      <c r="C72" s="13"/>
      <c r="D72" s="13"/>
      <c r="E72" s="13"/>
      <c r="F72" s="49"/>
      <c r="G72" s="13"/>
      <c r="H72" s="13"/>
    </row>
    <row r="73" spans="1:8">
      <c r="A73" t="s">
        <v>180</v>
      </c>
      <c r="B73" s="13" t="s">
        <v>27</v>
      </c>
      <c r="C73" s="30">
        <f>D31*D15*D33*2</f>
        <v>655.4047180178062</v>
      </c>
      <c r="D73" s="13" t="s">
        <v>48</v>
      </c>
      <c r="E73" s="13" t="s">
        <v>635</v>
      </c>
      <c r="F73" s="49" t="s">
        <v>645</v>
      </c>
      <c r="G73" s="30">
        <f>C73*2.5*1000</f>
        <v>1638511.7950445155</v>
      </c>
      <c r="H73" s="13" t="s">
        <v>644</v>
      </c>
    </row>
    <row r="74" spans="1:8">
      <c r="B74" s="13" t="s">
        <v>29</v>
      </c>
      <c r="C74" s="30">
        <f>SUM(D16:D17)*D31*D33*2</f>
        <v>2340.731135777879</v>
      </c>
      <c r="D74" s="13" t="s">
        <v>48</v>
      </c>
      <c r="E74" s="13" t="s">
        <v>638</v>
      </c>
      <c r="F74" s="49" t="s">
        <v>645</v>
      </c>
      <c r="G74" s="54">
        <f>C74*2.5*1000</f>
        <v>5851827.8394446969</v>
      </c>
      <c r="H74" s="13" t="s">
        <v>644</v>
      </c>
    </row>
    <row r="75" spans="1:8">
      <c r="B75" s="13" t="s">
        <v>601</v>
      </c>
      <c r="C75" s="30">
        <f>D31*2*D33*2</f>
        <v>18725.849086223032</v>
      </c>
      <c r="D75" s="13" t="s">
        <v>49</v>
      </c>
      <c r="E75" s="13" t="s">
        <v>668</v>
      </c>
      <c r="F75" s="49" t="s">
        <v>602</v>
      </c>
      <c r="G75" s="54">
        <f>C75</f>
        <v>18725.849086223032</v>
      </c>
      <c r="H75" s="13" t="s">
        <v>49</v>
      </c>
    </row>
    <row r="76" spans="1:8">
      <c r="B76" s="13" t="s">
        <v>30</v>
      </c>
      <c r="C76" s="30">
        <f>D31*D33*2</f>
        <v>9362.924543111516</v>
      </c>
      <c r="D76" s="13" t="s">
        <v>49</v>
      </c>
      <c r="E76" s="13" t="s">
        <v>623</v>
      </c>
      <c r="F76" s="49"/>
      <c r="G76" s="54">
        <f>C76*0.25</f>
        <v>2340.731135777879</v>
      </c>
      <c r="H76" s="13" t="s">
        <v>48</v>
      </c>
    </row>
    <row r="77" spans="1:8">
      <c r="B77" s="13" t="s">
        <v>31</v>
      </c>
      <c r="C77" s="30">
        <f>D31*D19*D33*2</f>
        <v>4681.462271555758</v>
      </c>
      <c r="D77" s="13" t="s">
        <v>48</v>
      </c>
      <c r="E77" s="13" t="s">
        <v>639</v>
      </c>
      <c r="F77" s="49"/>
      <c r="G77" s="54">
        <f>C77</f>
        <v>4681.462271555758</v>
      </c>
      <c r="H77" s="13" t="s">
        <v>48</v>
      </c>
    </row>
    <row r="78" spans="1:8">
      <c r="B78" s="13"/>
      <c r="C78" s="13"/>
      <c r="D78" s="13"/>
      <c r="E78" s="13"/>
      <c r="F78" s="49"/>
      <c r="G78" s="13"/>
      <c r="H78" s="13"/>
    </row>
    <row r="79" spans="1:8">
      <c r="A79" t="s">
        <v>182</v>
      </c>
      <c r="B79" t="s">
        <v>53</v>
      </c>
      <c r="C79" s="9">
        <f>D22*D31/1000</f>
        <v>0.80024996094970235</v>
      </c>
      <c r="D79" t="s">
        <v>10</v>
      </c>
      <c r="E79" t="s">
        <v>621</v>
      </c>
      <c r="F79" s="4"/>
      <c r="G79" s="29">
        <f>C79*1000</f>
        <v>800.24996094970231</v>
      </c>
      <c r="H79" t="s">
        <v>21</v>
      </c>
    </row>
    <row r="80" spans="1:8">
      <c r="B80" t="s">
        <v>54</v>
      </c>
      <c r="C80" s="9">
        <f>D41*D20*D31/1000</f>
        <v>0.20006249023742559</v>
      </c>
      <c r="D80" t="s">
        <v>10</v>
      </c>
      <c r="E80" t="s">
        <v>621</v>
      </c>
      <c r="F80" s="4"/>
      <c r="G80" s="29">
        <f>C80*1000</f>
        <v>200.06249023742558</v>
      </c>
      <c r="H80" t="s">
        <v>21</v>
      </c>
    </row>
    <row r="81" spans="1:8">
      <c r="C81" s="15"/>
      <c r="F81" s="4"/>
    </row>
    <row r="82" spans="1:8">
      <c r="A82" t="s">
        <v>175</v>
      </c>
      <c r="B82" t="s">
        <v>174</v>
      </c>
      <c r="C82" s="15">
        <f>D31*D35*D34*2</f>
        <v>57137.847211808737</v>
      </c>
      <c r="D82" t="s">
        <v>48</v>
      </c>
      <c r="E82" s="13" t="s">
        <v>699</v>
      </c>
      <c r="F82" s="12" t="str">
        <f>F63</f>
        <v>LET OP!, vrijkomend materiaal (invoer conform Protocol)</v>
      </c>
      <c r="G82" s="15">
        <f>C82</f>
        <v>57137.847211808737</v>
      </c>
      <c r="H82" t="s">
        <v>48</v>
      </c>
    </row>
    <row r="83" spans="1:8">
      <c r="F83" s="4"/>
    </row>
    <row r="84" spans="1:8">
      <c r="A84" t="s">
        <v>41</v>
      </c>
      <c r="C84" s="15">
        <f>D31*2</f>
        <v>400.12498047485116</v>
      </c>
      <c r="D84" t="s">
        <v>21</v>
      </c>
      <c r="E84" t="s">
        <v>696</v>
      </c>
      <c r="F84" s="4"/>
      <c r="G84" s="15">
        <f>C84</f>
        <v>400.12498047485116</v>
      </c>
      <c r="H84" t="s">
        <v>21</v>
      </c>
    </row>
    <row r="86" spans="1:8">
      <c r="A86" s="89"/>
    </row>
    <row r="87" spans="1:8">
      <c r="A87" s="87"/>
    </row>
  </sheetData>
  <conditionalFormatting sqref="B44 F85:F1048576 F1:F44 F47 F53 F55 F63 F67 F82">
    <cfRule type="containsText" dxfId="6" priority="3" operator="containsText" text="@">
      <formula>NOT(ISERROR(SEARCH("@",B1)))</formula>
    </cfRule>
  </conditionalFormatting>
  <hyperlinks>
    <hyperlink ref="F23" r:id="rId1"/>
  </hyperlinks>
  <pageMargins left="0.7" right="0.7" top="0.75" bottom="0.75" header="0.3" footer="0.3"/>
  <pageSetup paperSize="9" orientation="portrait" horizontalDpi="1200" verticalDpi="1200" r:id="rId2"/>
  <drawing r:id="rId3"/>
  <legacy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sheetPr>
  <dimension ref="A1:H56"/>
  <sheetViews>
    <sheetView topLeftCell="A4" zoomScale="70" zoomScaleNormal="70" workbookViewId="0">
      <selection activeCell="E78" sqref="E78"/>
    </sheetView>
  </sheetViews>
  <sheetFormatPr defaultRowHeight="15"/>
  <cols>
    <col min="1" max="1" width="20.28515625" bestFit="1" customWidth="1"/>
    <col min="2" max="2" width="52.85546875" bestFit="1" customWidth="1"/>
    <col min="3" max="3" width="14.42578125" customWidth="1"/>
    <col min="5" max="5" width="59.7109375" customWidth="1"/>
    <col min="6" max="6" width="48.5703125" customWidth="1"/>
    <col min="7" max="7" width="18.85546875" customWidth="1"/>
    <col min="8" max="8" width="11" bestFit="1" customWidth="1"/>
    <col min="9" max="9" width="60" customWidth="1"/>
    <col min="10" max="10" width="36.140625" customWidth="1"/>
  </cols>
  <sheetData>
    <row r="1" spans="1:6">
      <c r="A1" s="2" t="s">
        <v>0</v>
      </c>
    </row>
    <row r="2" spans="1:6" ht="15.75" thickBot="1">
      <c r="B2" s="1" t="s">
        <v>1</v>
      </c>
      <c r="C2" s="1"/>
      <c r="D2" s="1" t="s">
        <v>2</v>
      </c>
      <c r="E2" s="1" t="s">
        <v>3</v>
      </c>
      <c r="F2" s="1" t="s">
        <v>4</v>
      </c>
    </row>
    <row r="3" spans="1:6">
      <c r="B3" t="s">
        <v>6</v>
      </c>
      <c r="D3">
        <v>2</v>
      </c>
      <c r="E3" t="s">
        <v>5</v>
      </c>
      <c r="F3" t="s">
        <v>12</v>
      </c>
    </row>
    <row r="4" spans="1:6">
      <c r="B4" t="s">
        <v>7</v>
      </c>
      <c r="D4">
        <v>4</v>
      </c>
      <c r="E4" t="s">
        <v>5</v>
      </c>
      <c r="F4" t="s">
        <v>52</v>
      </c>
    </row>
    <row r="5" spans="1:6">
      <c r="B5" t="s">
        <v>8</v>
      </c>
      <c r="D5">
        <v>2</v>
      </c>
      <c r="E5" t="s">
        <v>5</v>
      </c>
    </row>
    <row r="6" spans="1:6">
      <c r="B6" t="s">
        <v>9</v>
      </c>
      <c r="D6">
        <v>1</v>
      </c>
      <c r="E6" t="s">
        <v>10</v>
      </c>
    </row>
    <row r="8" spans="1:6">
      <c r="A8" s="2" t="s">
        <v>11</v>
      </c>
    </row>
    <row r="9" spans="1:6" ht="15.75" thickBot="1">
      <c r="B9" s="1" t="s">
        <v>1</v>
      </c>
      <c r="C9" s="1"/>
      <c r="D9" s="1" t="s">
        <v>2</v>
      </c>
      <c r="E9" s="1" t="s">
        <v>3</v>
      </c>
      <c r="F9" s="1" t="s">
        <v>4</v>
      </c>
    </row>
    <row r="10" spans="1:6">
      <c r="B10" t="s">
        <v>13</v>
      </c>
      <c r="D10">
        <v>1.1000000000000001</v>
      </c>
      <c r="E10" t="s">
        <v>21</v>
      </c>
      <c r="F10" t="s">
        <v>44</v>
      </c>
    </row>
    <row r="11" spans="1:6">
      <c r="B11" t="s">
        <v>14</v>
      </c>
      <c r="D11">
        <v>25</v>
      </c>
      <c r="E11" t="s">
        <v>22</v>
      </c>
    </row>
    <row r="12" spans="1:6">
      <c r="B12" t="s">
        <v>15</v>
      </c>
      <c r="D12">
        <v>3.5</v>
      </c>
      <c r="E12" t="s">
        <v>21</v>
      </c>
    </row>
    <row r="13" spans="1:6">
      <c r="B13" t="s">
        <v>16</v>
      </c>
      <c r="D13">
        <v>7.0000000000000007E-2</v>
      </c>
      <c r="E13" t="s">
        <v>21</v>
      </c>
    </row>
    <row r="14" spans="1:6">
      <c r="B14" t="s">
        <v>17</v>
      </c>
      <c r="D14">
        <v>7.0000000000000007E-2</v>
      </c>
      <c r="E14" t="s">
        <v>21</v>
      </c>
      <c r="F14" t="s">
        <v>45</v>
      </c>
    </row>
    <row r="15" spans="1:6">
      <c r="B15" t="s">
        <v>18</v>
      </c>
      <c r="D15">
        <v>0.18</v>
      </c>
      <c r="E15" t="s">
        <v>21</v>
      </c>
      <c r="F15" t="s">
        <v>45</v>
      </c>
    </row>
    <row r="16" spans="1:6">
      <c r="B16" t="s">
        <v>19</v>
      </c>
      <c r="D16">
        <v>0.25</v>
      </c>
      <c r="E16" t="s">
        <v>21</v>
      </c>
      <c r="F16" t="s">
        <v>46</v>
      </c>
    </row>
    <row r="17" spans="1:8">
      <c r="B17" t="s">
        <v>20</v>
      </c>
      <c r="D17">
        <v>0.5</v>
      </c>
      <c r="E17" t="s">
        <v>21</v>
      </c>
      <c r="F17" t="s">
        <v>47</v>
      </c>
    </row>
    <row r="18" spans="1:8">
      <c r="B18" t="s">
        <v>612</v>
      </c>
      <c r="D18">
        <v>50</v>
      </c>
      <c r="E18" t="s">
        <v>21</v>
      </c>
    </row>
    <row r="20" spans="1:8">
      <c r="A20" s="2" t="s">
        <v>26</v>
      </c>
    </row>
    <row r="21" spans="1:8" ht="15.75" thickBot="1">
      <c r="B21" s="1" t="s">
        <v>1</v>
      </c>
      <c r="C21" s="1" t="s">
        <v>2</v>
      </c>
      <c r="D21" s="1" t="s">
        <v>3</v>
      </c>
      <c r="E21" s="1" t="s">
        <v>616</v>
      </c>
      <c r="F21" s="1" t="s">
        <v>4</v>
      </c>
      <c r="G21" s="1" t="s">
        <v>643</v>
      </c>
      <c r="H21" s="1" t="s">
        <v>3</v>
      </c>
    </row>
    <row r="22" spans="1:8">
      <c r="A22" t="s">
        <v>28</v>
      </c>
      <c r="B22" t="s">
        <v>27</v>
      </c>
      <c r="C22">
        <f>$D$4*($D$6*1000)*$D$12*D13</f>
        <v>980.00000000000011</v>
      </c>
      <c r="D22" t="s">
        <v>48</v>
      </c>
      <c r="E22" t="s">
        <v>635</v>
      </c>
      <c r="F22" s="32" t="s">
        <v>645</v>
      </c>
      <c r="G22" s="50">
        <f>C22*2.5*1000</f>
        <v>2450000.0000000005</v>
      </c>
      <c r="H22" t="s">
        <v>644</v>
      </c>
    </row>
    <row r="23" spans="1:8">
      <c r="B23" t="s">
        <v>29</v>
      </c>
      <c r="C23">
        <f>D4*(D6*1000)*D12*(D14+D15)</f>
        <v>3500</v>
      </c>
      <c r="D23" t="s">
        <v>48</v>
      </c>
      <c r="E23" t="s">
        <v>638</v>
      </c>
      <c r="F23" s="32" t="s">
        <v>645</v>
      </c>
      <c r="G23" s="50">
        <f>C23*2.5*1000</f>
        <v>8750000</v>
      </c>
      <c r="H23" t="s">
        <v>644</v>
      </c>
    </row>
    <row r="24" spans="1:8">
      <c r="B24" s="13" t="s">
        <v>601</v>
      </c>
      <c r="C24" s="13">
        <f>$D$4*($D$6*1000)*$D$12*2</f>
        <v>28000</v>
      </c>
      <c r="D24" s="13" t="s">
        <v>49</v>
      </c>
      <c r="E24" s="13" t="s">
        <v>668</v>
      </c>
      <c r="F24" s="13"/>
      <c r="G24">
        <f>C24</f>
        <v>28000</v>
      </c>
      <c r="H24" s="13" t="s">
        <v>49</v>
      </c>
    </row>
    <row r="25" spans="1:8">
      <c r="B25" t="s">
        <v>30</v>
      </c>
      <c r="C25">
        <f>D4*(D6*1000)*D12</f>
        <v>14000</v>
      </c>
      <c r="D25" t="s">
        <v>49</v>
      </c>
      <c r="E25" t="s">
        <v>623</v>
      </c>
      <c r="G25" s="29">
        <f>C25*0.25</f>
        <v>3500</v>
      </c>
      <c r="H25" t="s">
        <v>48</v>
      </c>
    </row>
    <row r="26" spans="1:8">
      <c r="B26" t="s">
        <v>31</v>
      </c>
      <c r="C26">
        <f>$D$4*($D$6*1000)*$D$12*D17</f>
        <v>7000</v>
      </c>
      <c r="D26" t="s">
        <v>48</v>
      </c>
      <c r="E26" t="s">
        <v>639</v>
      </c>
      <c r="G26">
        <f>C26</f>
        <v>7000</v>
      </c>
      <c r="H26" t="s">
        <v>48</v>
      </c>
    </row>
    <row r="27" spans="1:8">
      <c r="B27" t="s">
        <v>32</v>
      </c>
      <c r="C27">
        <f>$D$4*($D$6*1000)*$D$12*SUM(D13:D17)</f>
        <v>14980</v>
      </c>
      <c r="D27" t="s">
        <v>48</v>
      </c>
      <c r="E27" s="13" t="s">
        <v>699</v>
      </c>
      <c r="F27" s="13"/>
      <c r="G27">
        <f>C27</f>
        <v>14980</v>
      </c>
      <c r="H27" t="s">
        <v>48</v>
      </c>
    </row>
    <row r="29" spans="1:8">
      <c r="A29" t="s">
        <v>33</v>
      </c>
      <c r="B29" t="s">
        <v>27</v>
      </c>
      <c r="C29">
        <f>$D$5*($D$6*1000)*$D$12*D13</f>
        <v>490.00000000000006</v>
      </c>
      <c r="D29" t="s">
        <v>48</v>
      </c>
      <c r="E29" t="s">
        <v>635</v>
      </c>
      <c r="F29" s="32" t="s">
        <v>645</v>
      </c>
      <c r="G29" s="50">
        <f>C29*2.5*1000</f>
        <v>1225000.0000000002</v>
      </c>
      <c r="H29" t="s">
        <v>644</v>
      </c>
    </row>
    <row r="30" spans="1:8">
      <c r="B30" t="s">
        <v>29</v>
      </c>
      <c r="C30">
        <f>$D$5*($D$6*1000)*$D$12*(D14+D15)</f>
        <v>1750</v>
      </c>
      <c r="D30" t="s">
        <v>48</v>
      </c>
      <c r="E30" t="s">
        <v>638</v>
      </c>
      <c r="F30" s="32" t="s">
        <v>645</v>
      </c>
      <c r="G30" s="50">
        <f>C30*2.5*1000</f>
        <v>4375000</v>
      </c>
      <c r="H30" t="s">
        <v>644</v>
      </c>
    </row>
    <row r="31" spans="1:8">
      <c r="B31" s="13" t="s">
        <v>601</v>
      </c>
      <c r="C31" s="13">
        <f>$D$4*($D$6*1000)*$D$12*2</f>
        <v>28000</v>
      </c>
      <c r="D31" s="13" t="s">
        <v>49</v>
      </c>
      <c r="E31" s="13" t="s">
        <v>668</v>
      </c>
      <c r="F31" s="13"/>
      <c r="G31">
        <f>C31</f>
        <v>28000</v>
      </c>
      <c r="H31" s="13" t="s">
        <v>49</v>
      </c>
    </row>
    <row r="32" spans="1:8">
      <c r="B32" t="s">
        <v>30</v>
      </c>
      <c r="C32">
        <f>$D$5*($D$6*1000)*$D$12</f>
        <v>7000</v>
      </c>
      <c r="D32" t="s">
        <v>49</v>
      </c>
      <c r="E32" t="s">
        <v>623</v>
      </c>
      <c r="G32" s="29">
        <f>C32*0.25</f>
        <v>1750</v>
      </c>
      <c r="H32" t="s">
        <v>48</v>
      </c>
    </row>
    <row r="33" spans="1:8">
      <c r="B33" t="s">
        <v>31</v>
      </c>
      <c r="C33">
        <f>$D$5*($D$6*1000)*$D$12*D17</f>
        <v>3500</v>
      </c>
      <c r="D33" t="s">
        <v>48</v>
      </c>
      <c r="E33" t="s">
        <v>639</v>
      </c>
      <c r="G33">
        <f>C33</f>
        <v>3500</v>
      </c>
      <c r="H33" t="s">
        <v>48</v>
      </c>
    </row>
    <row r="34" spans="1:8">
      <c r="B34" t="s">
        <v>32</v>
      </c>
      <c r="C34">
        <f>$D$5*($D$6*1000)*$D$12*SUM(D13:D17)</f>
        <v>7490</v>
      </c>
      <c r="D34" t="s">
        <v>48</v>
      </c>
      <c r="E34" s="13" t="s">
        <v>699</v>
      </c>
      <c r="F34" s="13"/>
      <c r="G34">
        <f>C34</f>
        <v>7490</v>
      </c>
      <c r="H34" t="s">
        <v>48</v>
      </c>
    </row>
    <row r="36" spans="1:8">
      <c r="A36" t="s">
        <v>34</v>
      </c>
      <c r="B36" t="s">
        <v>27</v>
      </c>
      <c r="C36">
        <f>$D$3*2*($D$6*1000)*$D$10*D13</f>
        <v>308.00000000000006</v>
      </c>
      <c r="D36" t="s">
        <v>48</v>
      </c>
      <c r="E36" t="s">
        <v>635</v>
      </c>
      <c r="F36" s="32" t="s">
        <v>645</v>
      </c>
      <c r="G36" s="50">
        <f>C36*2.5*1000</f>
        <v>770000.00000000012</v>
      </c>
      <c r="H36" t="s">
        <v>644</v>
      </c>
    </row>
    <row r="37" spans="1:8">
      <c r="B37" t="s">
        <v>29</v>
      </c>
      <c r="C37">
        <f>$D$3*2*($D$6*1000)*$D$10*(D14+D15)</f>
        <v>1100</v>
      </c>
      <c r="D37" t="s">
        <v>48</v>
      </c>
      <c r="E37" t="s">
        <v>638</v>
      </c>
      <c r="F37" s="32" t="s">
        <v>645</v>
      </c>
      <c r="G37" s="50">
        <f>C37*2.5*1000</f>
        <v>2750000</v>
      </c>
      <c r="H37" t="s">
        <v>644</v>
      </c>
    </row>
    <row r="38" spans="1:8">
      <c r="B38" s="13" t="s">
        <v>601</v>
      </c>
      <c r="C38" s="13">
        <f>$D$3*($D$6*1000)*$D$12*2</f>
        <v>14000</v>
      </c>
      <c r="D38" s="13" t="s">
        <v>49</v>
      </c>
      <c r="E38" s="13" t="s">
        <v>668</v>
      </c>
      <c r="F38" s="13"/>
      <c r="G38">
        <f>C38</f>
        <v>14000</v>
      </c>
      <c r="H38" s="13" t="s">
        <v>49</v>
      </c>
    </row>
    <row r="39" spans="1:8">
      <c r="B39" t="s">
        <v>30</v>
      </c>
      <c r="C39">
        <f>$D$3*2*($D$6*1000)*$D$10</f>
        <v>4400</v>
      </c>
      <c r="D39" t="s">
        <v>49</v>
      </c>
      <c r="E39" t="s">
        <v>623</v>
      </c>
      <c r="G39" s="29">
        <f>C39*0.25</f>
        <v>1100</v>
      </c>
      <c r="H39" t="s">
        <v>48</v>
      </c>
    </row>
    <row r="40" spans="1:8">
      <c r="B40" t="s">
        <v>31</v>
      </c>
      <c r="C40">
        <f>$D$3*2*($D$6*1000)*$D$10*D17</f>
        <v>2200</v>
      </c>
      <c r="D40" t="s">
        <v>48</v>
      </c>
      <c r="E40" t="s">
        <v>639</v>
      </c>
      <c r="G40">
        <f>C40</f>
        <v>2200</v>
      </c>
      <c r="H40" t="s">
        <v>48</v>
      </c>
    </row>
    <row r="41" spans="1:8">
      <c r="B41" t="s">
        <v>32</v>
      </c>
      <c r="C41">
        <f>$D$3*2*($D$6*1000)*$D$10*SUM(D13:D17)</f>
        <v>4708</v>
      </c>
      <c r="D41" t="s">
        <v>48</v>
      </c>
      <c r="E41" s="13" t="s">
        <v>699</v>
      </c>
      <c r="F41" s="13" t="s">
        <v>667</v>
      </c>
      <c r="G41">
        <f>C41</f>
        <v>4708</v>
      </c>
      <c r="H41" t="s">
        <v>48</v>
      </c>
    </row>
    <row r="42" spans="1:8">
      <c r="A42" s="86"/>
      <c r="B42" s="86"/>
      <c r="C42" s="86"/>
      <c r="D42" s="86"/>
      <c r="E42" s="86"/>
      <c r="F42" s="86"/>
      <c r="G42" s="86"/>
      <c r="H42" s="86"/>
    </row>
    <row r="43" spans="1:8">
      <c r="A43" s="86" t="s">
        <v>35</v>
      </c>
      <c r="B43" s="86" t="s">
        <v>35</v>
      </c>
      <c r="C43" s="86">
        <f>D6*1000</f>
        <v>1000</v>
      </c>
      <c r="D43" s="86" t="s">
        <v>21</v>
      </c>
      <c r="E43" s="86" t="s">
        <v>696</v>
      </c>
      <c r="F43" s="86"/>
      <c r="G43" s="86">
        <f>C43</f>
        <v>1000</v>
      </c>
      <c r="H43" s="86" t="s">
        <v>21</v>
      </c>
    </row>
    <row r="44" spans="1:8">
      <c r="A44" s="86"/>
      <c r="B44" s="86"/>
      <c r="C44" s="86"/>
      <c r="D44" s="86"/>
      <c r="E44" s="86"/>
      <c r="F44" s="86"/>
      <c r="G44" s="86"/>
      <c r="H44" s="86"/>
    </row>
    <row r="45" spans="1:8">
      <c r="A45" s="86" t="s">
        <v>36</v>
      </c>
      <c r="B45" s="86" t="s">
        <v>53</v>
      </c>
      <c r="C45" s="86">
        <f>2*D3*(D6*1000)/1000</f>
        <v>4</v>
      </c>
      <c r="D45" s="86" t="s">
        <v>10</v>
      </c>
      <c r="E45" s="86" t="s">
        <v>621</v>
      </c>
      <c r="F45" s="86"/>
      <c r="G45" s="86">
        <f>C45*1000</f>
        <v>4000</v>
      </c>
      <c r="H45" s="86" t="s">
        <v>21</v>
      </c>
    </row>
    <row r="46" spans="1:8">
      <c r="A46" s="86"/>
      <c r="B46" s="86" t="s">
        <v>54</v>
      </c>
      <c r="C46" s="86">
        <f>(D4-D3)*(D11/100)*(D6*1000)/1000</f>
        <v>0.5</v>
      </c>
      <c r="D46" s="86" t="s">
        <v>10</v>
      </c>
      <c r="E46" s="86" t="s">
        <v>621</v>
      </c>
      <c r="F46" s="86"/>
      <c r="G46" s="86">
        <f>C46*1000</f>
        <v>500</v>
      </c>
      <c r="H46" s="86" t="s">
        <v>21</v>
      </c>
    </row>
    <row r="47" spans="1:8">
      <c r="A47" s="86"/>
      <c r="B47" s="86"/>
      <c r="C47" s="86"/>
      <c r="D47" s="86"/>
      <c r="E47" s="86"/>
      <c r="F47" s="86"/>
      <c r="G47" s="86"/>
      <c r="H47" s="86"/>
    </row>
    <row r="48" spans="1:8">
      <c r="A48" s="86" t="s">
        <v>610</v>
      </c>
      <c r="B48" s="86" t="s">
        <v>611</v>
      </c>
      <c r="C48" s="86">
        <f>D6*1000/D18</f>
        <v>20</v>
      </c>
      <c r="D48" s="86" t="s">
        <v>393</v>
      </c>
      <c r="E48" s="87" t="s">
        <v>624</v>
      </c>
      <c r="F48" s="86" t="s">
        <v>669</v>
      </c>
      <c r="G48" s="86">
        <f>C48/15*6</f>
        <v>8</v>
      </c>
      <c r="H48" s="86" t="s">
        <v>393</v>
      </c>
    </row>
    <row r="49" spans="1:8">
      <c r="A49" s="86"/>
      <c r="B49" s="86"/>
      <c r="C49" s="86"/>
      <c r="D49" s="86"/>
      <c r="E49" s="86"/>
      <c r="F49" s="86"/>
      <c r="G49" s="86"/>
      <c r="H49" s="86"/>
    </row>
    <row r="50" spans="1:8">
      <c r="A50" s="86" t="s">
        <v>692</v>
      </c>
      <c r="B50" s="86" t="s">
        <v>693</v>
      </c>
      <c r="C50" s="86" t="s">
        <v>485</v>
      </c>
      <c r="D50" s="86" t="s">
        <v>485</v>
      </c>
      <c r="E50" s="86" t="s">
        <v>695</v>
      </c>
      <c r="F50" s="86" t="s">
        <v>694</v>
      </c>
      <c r="G50" s="86">
        <v>1</v>
      </c>
      <c r="H50" s="86" t="s">
        <v>393</v>
      </c>
    </row>
    <row r="52" spans="1:8">
      <c r="A52" s="21"/>
    </row>
    <row r="53" spans="1:8">
      <c r="A53" s="86"/>
      <c r="B53" s="86"/>
      <c r="C53" s="86"/>
      <c r="D53" s="86"/>
      <c r="E53" s="86"/>
    </row>
    <row r="54" spans="1:8">
      <c r="A54" s="86"/>
      <c r="B54" s="86"/>
      <c r="C54" s="86"/>
      <c r="D54" s="86"/>
      <c r="E54" s="86"/>
    </row>
    <row r="55" spans="1:8">
      <c r="A55" s="86"/>
      <c r="B55" s="86"/>
      <c r="C55" s="86"/>
      <c r="D55" s="86"/>
      <c r="E55" s="86"/>
    </row>
    <row r="56" spans="1:8">
      <c r="A56" s="17"/>
    </row>
  </sheetData>
  <pageMargins left="0.7" right="0.7" top="0.75" bottom="0.75" header="0.3" footer="0.3"/>
  <pageSetup paperSize="9" orientation="portrait" r:id="rId1"/>
  <legacy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5"/>
  </sheetPr>
  <dimension ref="A1:I52"/>
  <sheetViews>
    <sheetView zoomScale="70" zoomScaleNormal="70" workbookViewId="0">
      <selection activeCell="B46" sqref="B46"/>
    </sheetView>
  </sheetViews>
  <sheetFormatPr defaultRowHeight="15"/>
  <cols>
    <col min="1" max="1" width="20.28515625" bestFit="1" customWidth="1"/>
    <col min="2" max="2" width="52.85546875" bestFit="1" customWidth="1"/>
    <col min="3" max="3" width="9.140625" bestFit="1" customWidth="1"/>
    <col min="4" max="4" width="11" bestFit="1" customWidth="1"/>
    <col min="5" max="5" width="57.42578125" bestFit="1" customWidth="1"/>
    <col min="6" max="6" width="58" customWidth="1"/>
    <col min="7" max="7" width="15.85546875" bestFit="1" customWidth="1"/>
    <col min="8" max="8" width="11" bestFit="1" customWidth="1"/>
    <col min="9" max="9" width="15.42578125" bestFit="1" customWidth="1"/>
    <col min="10" max="10" width="10.7109375" bestFit="1" customWidth="1"/>
  </cols>
  <sheetData>
    <row r="1" spans="1:6">
      <c r="A1" s="2" t="s">
        <v>0</v>
      </c>
    </row>
    <row r="2" spans="1:6" ht="15.75" thickBot="1">
      <c r="B2" s="1" t="s">
        <v>1</v>
      </c>
      <c r="C2" s="1"/>
      <c r="D2" s="1" t="s">
        <v>2</v>
      </c>
      <c r="E2" s="1" t="s">
        <v>3</v>
      </c>
      <c r="F2" s="1" t="s">
        <v>4</v>
      </c>
    </row>
    <row r="3" spans="1:6">
      <c r="B3" t="s">
        <v>302</v>
      </c>
      <c r="D3">
        <v>25</v>
      </c>
      <c r="E3" t="s">
        <v>5</v>
      </c>
    </row>
    <row r="4" spans="1:6">
      <c r="B4" t="s">
        <v>573</v>
      </c>
      <c r="D4">
        <v>40</v>
      </c>
      <c r="E4" t="s">
        <v>5</v>
      </c>
    </row>
    <row r="8" spans="1:6">
      <c r="A8" s="2" t="s">
        <v>11</v>
      </c>
    </row>
    <row r="9" spans="1:6" ht="15.75" thickBot="1">
      <c r="B9" s="1" t="s">
        <v>1</v>
      </c>
      <c r="C9" s="1"/>
      <c r="D9" s="1" t="s">
        <v>2</v>
      </c>
      <c r="E9" s="1" t="s">
        <v>3</v>
      </c>
      <c r="F9" s="1" t="s">
        <v>4</v>
      </c>
    </row>
    <row r="10" spans="1:6">
      <c r="B10" t="s">
        <v>571</v>
      </c>
      <c r="D10">
        <v>4</v>
      </c>
      <c r="E10" t="s">
        <v>21</v>
      </c>
    </row>
    <row r="11" spans="1:6">
      <c r="B11" t="s">
        <v>572</v>
      </c>
      <c r="D11">
        <v>25</v>
      </c>
      <c r="E11" t="s">
        <v>21</v>
      </c>
    </row>
    <row r="12" spans="1:6">
      <c r="B12" t="s">
        <v>571</v>
      </c>
      <c r="D12">
        <v>3</v>
      </c>
      <c r="E12" t="s">
        <v>21</v>
      </c>
    </row>
    <row r="13" spans="1:6">
      <c r="B13" t="s">
        <v>572</v>
      </c>
      <c r="D13">
        <v>7</v>
      </c>
      <c r="E13" t="s">
        <v>21</v>
      </c>
    </row>
    <row r="14" spans="1:6">
      <c r="B14" t="s">
        <v>574</v>
      </c>
      <c r="D14">
        <v>4000</v>
      </c>
      <c r="E14" t="s">
        <v>49</v>
      </c>
    </row>
    <row r="15" spans="1:6">
      <c r="B15" t="s">
        <v>575</v>
      </c>
      <c r="D15">
        <v>1500</v>
      </c>
      <c r="E15" t="s">
        <v>49</v>
      </c>
    </row>
    <row r="16" spans="1:6">
      <c r="B16" t="s">
        <v>576</v>
      </c>
      <c r="D16">
        <v>700</v>
      </c>
      <c r="E16" t="s">
        <v>49</v>
      </c>
    </row>
    <row r="18" spans="1:8">
      <c r="B18" t="s">
        <v>577</v>
      </c>
      <c r="D18">
        <v>7.0000000000000007E-2</v>
      </c>
      <c r="E18" t="s">
        <v>21</v>
      </c>
    </row>
    <row r="19" spans="1:8">
      <c r="B19" t="s">
        <v>578</v>
      </c>
      <c r="D19">
        <v>0.13</v>
      </c>
      <c r="E19" t="s">
        <v>21</v>
      </c>
    </row>
    <row r="20" spans="1:8">
      <c r="B20" t="s">
        <v>304</v>
      </c>
      <c r="D20">
        <v>0.3</v>
      </c>
      <c r="E20" t="s">
        <v>21</v>
      </c>
    </row>
    <row r="21" spans="1:8">
      <c r="B21" t="s">
        <v>280</v>
      </c>
      <c r="D21">
        <v>0.25</v>
      </c>
      <c r="E21" t="s">
        <v>21</v>
      </c>
    </row>
    <row r="22" spans="1:8">
      <c r="B22" t="s">
        <v>281</v>
      </c>
      <c r="D22">
        <v>0.7</v>
      </c>
      <c r="E22" t="s">
        <v>21</v>
      </c>
    </row>
    <row r="23" spans="1:8">
      <c r="B23" t="s">
        <v>580</v>
      </c>
      <c r="D23">
        <v>0.05</v>
      </c>
      <c r="E23" t="s">
        <v>21</v>
      </c>
    </row>
    <row r="24" spans="1:8">
      <c r="B24" t="s">
        <v>579</v>
      </c>
      <c r="D24">
        <v>0.3</v>
      </c>
      <c r="E24" t="s">
        <v>21</v>
      </c>
    </row>
    <row r="28" spans="1:8">
      <c r="A28" s="2" t="s">
        <v>26</v>
      </c>
    </row>
    <row r="29" spans="1:8" ht="15.75" thickBot="1">
      <c r="B29" s="1" t="s">
        <v>1</v>
      </c>
      <c r="C29" s="1" t="s">
        <v>2</v>
      </c>
      <c r="D29" s="1" t="s">
        <v>3</v>
      </c>
      <c r="E29" s="1" t="s">
        <v>616</v>
      </c>
      <c r="F29" s="1" t="s">
        <v>4</v>
      </c>
      <c r="G29" s="1" t="s">
        <v>643</v>
      </c>
      <c r="H29" s="1" t="s">
        <v>3</v>
      </c>
    </row>
    <row r="30" spans="1:8">
      <c r="A30" t="s">
        <v>581</v>
      </c>
      <c r="B30" t="s">
        <v>305</v>
      </c>
      <c r="C30">
        <f>$D$3*$D$11*$D$10*D20</f>
        <v>750</v>
      </c>
      <c r="D30" t="s">
        <v>48</v>
      </c>
      <c r="E30" t="s">
        <v>658</v>
      </c>
      <c r="F30" s="13"/>
      <c r="G30">
        <f>C30</f>
        <v>750</v>
      </c>
      <c r="H30" t="s">
        <v>48</v>
      </c>
    </row>
    <row r="31" spans="1:8">
      <c r="B31" t="s">
        <v>37</v>
      </c>
      <c r="C31">
        <f>$D$3*$D$11*$D$10</f>
        <v>2500</v>
      </c>
      <c r="D31" t="s">
        <v>49</v>
      </c>
      <c r="E31" t="s">
        <v>623</v>
      </c>
      <c r="G31" s="15">
        <f>C31*0.25</f>
        <v>625</v>
      </c>
      <c r="H31" t="s">
        <v>48</v>
      </c>
    </row>
    <row r="32" spans="1:8">
      <c r="B32" t="s">
        <v>31</v>
      </c>
      <c r="C32">
        <f t="shared" ref="C32" si="0">$D$3*$D$11*$D$10*D22</f>
        <v>1750</v>
      </c>
      <c r="D32" t="s">
        <v>48</v>
      </c>
      <c r="E32" t="s">
        <v>639</v>
      </c>
      <c r="G32" s="29">
        <f>C32</f>
        <v>1750</v>
      </c>
      <c r="H32" t="s">
        <v>48</v>
      </c>
    </row>
    <row r="34" spans="1:9">
      <c r="A34" t="s">
        <v>582</v>
      </c>
      <c r="B34" t="s">
        <v>305</v>
      </c>
      <c r="C34">
        <f>$D$4*$D$12*$D$13*D20</f>
        <v>252</v>
      </c>
      <c r="D34" t="s">
        <v>48</v>
      </c>
      <c r="E34" t="s">
        <v>658</v>
      </c>
      <c r="F34" s="13"/>
      <c r="G34">
        <f>C34</f>
        <v>252</v>
      </c>
      <c r="H34" t="s">
        <v>48</v>
      </c>
    </row>
    <row r="35" spans="1:9">
      <c r="B35" t="s">
        <v>37</v>
      </c>
      <c r="C35">
        <f>$D$4*$D$12*$D$13</f>
        <v>840</v>
      </c>
      <c r="D35" t="s">
        <v>49</v>
      </c>
      <c r="E35" t="s">
        <v>623</v>
      </c>
      <c r="G35" s="15">
        <f>C35*0.25</f>
        <v>210</v>
      </c>
      <c r="H35" t="s">
        <v>48</v>
      </c>
    </row>
    <row r="36" spans="1:9">
      <c r="B36" t="s">
        <v>31</v>
      </c>
      <c r="C36">
        <f>$D$4*$D$12*$D$13*D22</f>
        <v>588</v>
      </c>
      <c r="D36" t="s">
        <v>48</v>
      </c>
      <c r="E36" t="s">
        <v>639</v>
      </c>
      <c r="G36" s="29">
        <f>C36</f>
        <v>588</v>
      </c>
      <c r="H36" t="s">
        <v>48</v>
      </c>
    </row>
    <row r="38" spans="1:9">
      <c r="A38" t="s">
        <v>584</v>
      </c>
      <c r="B38" t="s">
        <v>298</v>
      </c>
      <c r="C38">
        <f>($D$14+$D$15)*D18</f>
        <v>385.00000000000006</v>
      </c>
      <c r="D38" t="s">
        <v>48</v>
      </c>
      <c r="E38" t="s">
        <v>635</v>
      </c>
      <c r="F38" t="s">
        <v>645</v>
      </c>
      <c r="G38" s="15">
        <f>C38*2.5*1000</f>
        <v>962500.00000000012</v>
      </c>
      <c r="H38" t="s">
        <v>644</v>
      </c>
    </row>
    <row r="39" spans="1:9">
      <c r="B39" t="s">
        <v>279</v>
      </c>
      <c r="C39">
        <f t="shared" ref="C39" si="1">($D$14+$D$15)*D19</f>
        <v>715</v>
      </c>
      <c r="D39" t="s">
        <v>48</v>
      </c>
      <c r="E39" t="s">
        <v>638</v>
      </c>
      <c r="F39" t="s">
        <v>645</v>
      </c>
      <c r="G39" s="29">
        <f>C39*2.5*1000</f>
        <v>1787500</v>
      </c>
      <c r="H39" t="s">
        <v>644</v>
      </c>
    </row>
    <row r="40" spans="1:9">
      <c r="B40" t="s">
        <v>37</v>
      </c>
      <c r="C40">
        <f>($D$14+$D$15)</f>
        <v>5500</v>
      </c>
      <c r="D40" t="s">
        <v>49</v>
      </c>
      <c r="E40" t="s">
        <v>623</v>
      </c>
      <c r="G40" s="15">
        <f>C40*0.25</f>
        <v>1375</v>
      </c>
      <c r="H40" t="s">
        <v>48</v>
      </c>
    </row>
    <row r="41" spans="1:9">
      <c r="B41" t="s">
        <v>31</v>
      </c>
      <c r="C41">
        <f>($D$14+$D$15)*D22</f>
        <v>3849.9999999999995</v>
      </c>
      <c r="D41" t="s">
        <v>48</v>
      </c>
      <c r="E41" t="s">
        <v>639</v>
      </c>
      <c r="G41" s="29">
        <f>C41</f>
        <v>3849.9999999999995</v>
      </c>
      <c r="H41" t="s">
        <v>48</v>
      </c>
    </row>
    <row r="43" spans="1:9">
      <c r="A43" t="s">
        <v>583</v>
      </c>
      <c r="B43" t="s">
        <v>289</v>
      </c>
      <c r="C43">
        <f>$D$16</f>
        <v>700</v>
      </c>
      <c r="D43" t="s">
        <v>49</v>
      </c>
      <c r="E43" t="s">
        <v>659</v>
      </c>
      <c r="G43">
        <f>C43</f>
        <v>700</v>
      </c>
      <c r="H43" t="s">
        <v>49</v>
      </c>
    </row>
    <row r="44" spans="1:9">
      <c r="B44" t="s">
        <v>31</v>
      </c>
      <c r="C44">
        <f>$D$16*D24</f>
        <v>210</v>
      </c>
      <c r="D44" t="s">
        <v>48</v>
      </c>
      <c r="E44" t="s">
        <v>639</v>
      </c>
      <c r="G44" s="29">
        <f>C44</f>
        <v>210</v>
      </c>
      <c r="H44" t="s">
        <v>48</v>
      </c>
    </row>
    <row r="46" spans="1:9">
      <c r="A46" s="17"/>
      <c r="B46" s="17"/>
      <c r="I46" s="29"/>
    </row>
    <row r="50" spans="1:2">
      <c r="A50" s="89"/>
      <c r="B50" s="89"/>
    </row>
    <row r="51" spans="1:2">
      <c r="A51" s="87"/>
      <c r="B51" s="86"/>
    </row>
    <row r="52" spans="1:2">
      <c r="A52" s="87"/>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0">
    <tabColor theme="9"/>
  </sheetPr>
  <dimension ref="A1:H77"/>
  <sheetViews>
    <sheetView zoomScale="70" zoomScaleNormal="70" workbookViewId="0">
      <selection activeCell="A76" sqref="A76:A78"/>
    </sheetView>
  </sheetViews>
  <sheetFormatPr defaultRowHeight="15"/>
  <cols>
    <col min="1" max="1" width="20.28515625" bestFit="1" customWidth="1"/>
    <col min="2" max="2" width="52.85546875" bestFit="1" customWidth="1"/>
    <col min="3" max="3" width="9.140625" bestFit="1" customWidth="1"/>
    <col min="4" max="4" width="14.85546875" bestFit="1" customWidth="1"/>
    <col min="5" max="5" width="57.85546875" bestFit="1" customWidth="1"/>
    <col min="6" max="6" width="85" customWidth="1"/>
    <col min="7" max="7" width="15.85546875" bestFit="1" customWidth="1"/>
    <col min="8" max="8" width="11" bestFit="1" customWidth="1"/>
    <col min="9" max="9" width="17.85546875" customWidth="1"/>
  </cols>
  <sheetData>
    <row r="1" spans="1:6">
      <c r="A1" s="2" t="s">
        <v>0</v>
      </c>
    </row>
    <row r="2" spans="1:6" ht="15.75" thickBot="1">
      <c r="B2" s="1" t="s">
        <v>1</v>
      </c>
      <c r="C2" s="1"/>
      <c r="D2" s="1" t="s">
        <v>2</v>
      </c>
      <c r="E2" s="1" t="s">
        <v>3</v>
      </c>
      <c r="F2" s="1" t="s">
        <v>4</v>
      </c>
    </row>
    <row r="3" spans="1:6">
      <c r="B3" t="s">
        <v>191</v>
      </c>
      <c r="D3">
        <v>2</v>
      </c>
      <c r="E3" t="s">
        <v>5</v>
      </c>
      <c r="F3" t="s">
        <v>12</v>
      </c>
    </row>
    <row r="4" spans="1:6">
      <c r="B4" t="s">
        <v>188</v>
      </c>
      <c r="D4">
        <v>2</v>
      </c>
      <c r="E4" t="s">
        <v>5</v>
      </c>
      <c r="F4" t="s">
        <v>12</v>
      </c>
    </row>
    <row r="5" spans="1:6">
      <c r="B5" t="s">
        <v>8</v>
      </c>
      <c r="D5">
        <v>2</v>
      </c>
      <c r="E5" t="s">
        <v>5</v>
      </c>
    </row>
    <row r="6" spans="1:6">
      <c r="B6" t="s">
        <v>23</v>
      </c>
      <c r="D6">
        <v>100</v>
      </c>
      <c r="E6" t="s">
        <v>21</v>
      </c>
      <c r="F6" t="s">
        <v>189</v>
      </c>
    </row>
    <row r="8" spans="1:6">
      <c r="A8" s="2" t="s">
        <v>11</v>
      </c>
    </row>
    <row r="9" spans="1:6" ht="15.75" thickBot="1">
      <c r="B9" s="1" t="s">
        <v>1</v>
      </c>
      <c r="C9" s="1"/>
      <c r="D9" s="1" t="s">
        <v>2</v>
      </c>
      <c r="E9" s="1" t="s">
        <v>3</v>
      </c>
      <c r="F9" s="1" t="s">
        <v>4</v>
      </c>
    </row>
    <row r="10" spans="1:6">
      <c r="B10" t="s">
        <v>24</v>
      </c>
      <c r="D10">
        <v>4.5999999999999996</v>
      </c>
      <c r="E10" s="13" t="s">
        <v>102</v>
      </c>
      <c r="F10" t="s">
        <v>103</v>
      </c>
    </row>
    <row r="11" spans="1:6">
      <c r="B11" t="s">
        <v>104</v>
      </c>
      <c r="D11">
        <v>7.0000000000000007E-2</v>
      </c>
      <c r="E11" s="13" t="s">
        <v>102</v>
      </c>
      <c r="F11" t="s">
        <v>105</v>
      </c>
    </row>
    <row r="12" spans="1:6">
      <c r="B12" t="s">
        <v>17</v>
      </c>
      <c r="D12">
        <v>7.0000000000000007E-2</v>
      </c>
      <c r="E12" t="s">
        <v>21</v>
      </c>
      <c r="F12" t="s">
        <v>45</v>
      </c>
    </row>
    <row r="13" spans="1:6">
      <c r="B13" t="s">
        <v>18</v>
      </c>
      <c r="D13">
        <v>0.18</v>
      </c>
      <c r="E13" t="s">
        <v>21</v>
      </c>
      <c r="F13" t="s">
        <v>45</v>
      </c>
    </row>
    <row r="14" spans="1:6">
      <c r="B14" t="s">
        <v>19</v>
      </c>
      <c r="D14">
        <v>0.25</v>
      </c>
      <c r="E14" t="s">
        <v>21</v>
      </c>
      <c r="F14" t="s">
        <v>46</v>
      </c>
    </row>
    <row r="15" spans="1:6">
      <c r="B15" t="s">
        <v>20</v>
      </c>
      <c r="D15">
        <v>0.5</v>
      </c>
      <c r="E15" t="s">
        <v>21</v>
      </c>
      <c r="F15" t="s">
        <v>47</v>
      </c>
    </row>
    <row r="16" spans="1:6">
      <c r="B16" t="s">
        <v>106</v>
      </c>
      <c r="D16">
        <v>0.05</v>
      </c>
      <c r="E16" s="13" t="s">
        <v>102</v>
      </c>
      <c r="F16" t="s">
        <v>107</v>
      </c>
    </row>
    <row r="17" spans="1:8">
      <c r="B17" t="s">
        <v>108</v>
      </c>
      <c r="D17">
        <v>0.3</v>
      </c>
      <c r="E17" s="13" t="s">
        <v>109</v>
      </c>
      <c r="F17" t="s">
        <v>110</v>
      </c>
    </row>
    <row r="18" spans="1:8">
      <c r="B18" t="s">
        <v>111</v>
      </c>
      <c r="D18">
        <v>7.8</v>
      </c>
      <c r="E18" s="13" t="s">
        <v>112</v>
      </c>
      <c r="F18" t="s">
        <v>113</v>
      </c>
    </row>
    <row r="19" spans="1:8">
      <c r="B19" t="s">
        <v>114</v>
      </c>
      <c r="D19">
        <v>1</v>
      </c>
      <c r="E19" s="13" t="s">
        <v>21</v>
      </c>
      <c r="F19" t="s">
        <v>115</v>
      </c>
    </row>
    <row r="20" spans="1:8">
      <c r="B20" t="s">
        <v>116</v>
      </c>
      <c r="D20">
        <v>60</v>
      </c>
      <c r="E20" s="13" t="s">
        <v>109</v>
      </c>
      <c r="F20" t="s">
        <v>117</v>
      </c>
    </row>
    <row r="21" spans="1:8">
      <c r="B21" t="s">
        <v>118</v>
      </c>
      <c r="D21">
        <v>6</v>
      </c>
      <c r="E21" s="13" t="s">
        <v>49</v>
      </c>
      <c r="F21" t="s">
        <v>119</v>
      </c>
    </row>
    <row r="22" spans="1:8">
      <c r="B22" t="s">
        <v>120</v>
      </c>
      <c r="D22">
        <f>3*3*1+D10+1</f>
        <v>14.6</v>
      </c>
      <c r="E22" s="13" t="s">
        <v>48</v>
      </c>
      <c r="F22" t="s">
        <v>121</v>
      </c>
    </row>
    <row r="23" spans="1:8">
      <c r="B23" t="s">
        <v>122</v>
      </c>
      <c r="D23">
        <v>40</v>
      </c>
      <c r="E23" s="13" t="s">
        <v>123</v>
      </c>
      <c r="F23" t="s">
        <v>124</v>
      </c>
    </row>
    <row r="24" spans="1:8">
      <c r="B24" t="s">
        <v>125</v>
      </c>
      <c r="D24" s="9">
        <f>8/4.6</f>
        <v>1.7391304347826089</v>
      </c>
      <c r="E24" s="13" t="s">
        <v>123</v>
      </c>
      <c r="F24" t="s">
        <v>126</v>
      </c>
    </row>
    <row r="25" spans="1:8">
      <c r="B25" t="s">
        <v>127</v>
      </c>
      <c r="D25">
        <f>1/20</f>
        <v>0.05</v>
      </c>
      <c r="E25" s="13" t="s">
        <v>102</v>
      </c>
      <c r="F25" t="s">
        <v>128</v>
      </c>
      <c r="H25" s="17"/>
    </row>
    <row r="26" spans="1:8">
      <c r="B26" t="s">
        <v>129</v>
      </c>
      <c r="D26">
        <v>1</v>
      </c>
      <c r="E26" s="13" t="s">
        <v>102</v>
      </c>
      <c r="F26" t="s">
        <v>130</v>
      </c>
    </row>
    <row r="27" spans="1:8">
      <c r="B27" t="s">
        <v>13</v>
      </c>
      <c r="D27">
        <v>1.1000000000000001</v>
      </c>
      <c r="E27" s="13" t="s">
        <v>102</v>
      </c>
      <c r="F27" t="s">
        <v>130</v>
      </c>
    </row>
    <row r="28" spans="1:8">
      <c r="B28" t="s">
        <v>15</v>
      </c>
      <c r="D28">
        <v>3.5</v>
      </c>
      <c r="E28" s="13" t="s">
        <v>102</v>
      </c>
      <c r="F28" t="s">
        <v>130</v>
      </c>
    </row>
    <row r="29" spans="1:8">
      <c r="B29" t="s">
        <v>131</v>
      </c>
      <c r="D29" s="9">
        <v>0.05</v>
      </c>
      <c r="E29" s="13" t="s">
        <v>132</v>
      </c>
      <c r="F29" t="s">
        <v>133</v>
      </c>
      <c r="H29" s="17"/>
    </row>
    <row r="30" spans="1:8">
      <c r="B30" t="s">
        <v>134</v>
      </c>
      <c r="D30">
        <f>15*0.4*0.4</f>
        <v>2.4000000000000004</v>
      </c>
      <c r="E30" s="13" t="s">
        <v>48</v>
      </c>
      <c r="F30" t="s">
        <v>135</v>
      </c>
    </row>
    <row r="32" spans="1:8">
      <c r="A32" s="2" t="s">
        <v>136</v>
      </c>
    </row>
    <row r="33" spans="2:6" ht="15.75" thickBot="1">
      <c r="B33" s="1" t="s">
        <v>1</v>
      </c>
      <c r="C33" s="1"/>
      <c r="D33" s="1" t="s">
        <v>2</v>
      </c>
      <c r="E33" s="1" t="s">
        <v>3</v>
      </c>
      <c r="F33" s="1" t="s">
        <v>4</v>
      </c>
    </row>
    <row r="34" spans="2:6">
      <c r="B34" t="s">
        <v>137</v>
      </c>
      <c r="D34">
        <f>D19*D25</f>
        <v>0.05</v>
      </c>
      <c r="E34" t="s">
        <v>5</v>
      </c>
    </row>
    <row r="35" spans="2:6">
      <c r="B35" t="s">
        <v>190</v>
      </c>
      <c r="D35">
        <f>INT(D6*D34)*D4</f>
        <v>10</v>
      </c>
      <c r="E35" t="s">
        <v>5</v>
      </c>
    </row>
    <row r="36" spans="2:6">
      <c r="B36" t="s">
        <v>139</v>
      </c>
      <c r="D36">
        <f>D10+D19+D16+D11</f>
        <v>5.72</v>
      </c>
      <c r="E36" t="s">
        <v>102</v>
      </c>
    </row>
    <row r="37" spans="2:6">
      <c r="B37" t="s">
        <v>140</v>
      </c>
      <c r="D37">
        <f>D36-D26</f>
        <v>4.72</v>
      </c>
      <c r="E37" t="s">
        <v>102</v>
      </c>
    </row>
    <row r="38" spans="2:6">
      <c r="B38" t="s">
        <v>141</v>
      </c>
      <c r="D38">
        <f>D23*D37</f>
        <v>188.79999999999998</v>
      </c>
      <c r="E38" t="s">
        <v>102</v>
      </c>
    </row>
    <row r="39" spans="2:6">
      <c r="B39" t="s">
        <v>142</v>
      </c>
      <c r="D39">
        <f>D23*D36</f>
        <v>228.79999999999998</v>
      </c>
      <c r="E39" t="s">
        <v>102</v>
      </c>
    </row>
    <row r="40" spans="2:6">
      <c r="B40" t="s">
        <v>184</v>
      </c>
      <c r="D40" s="11">
        <f>SQRT((D39^2)+(D36^2))</f>
        <v>228.87148883161484</v>
      </c>
      <c r="E40" t="s">
        <v>102</v>
      </c>
    </row>
    <row r="41" spans="2:6">
      <c r="B41" t="s">
        <v>143</v>
      </c>
      <c r="D41">
        <f>D36*D24</f>
        <v>9.9478260869565229</v>
      </c>
      <c r="E41" t="s">
        <v>102</v>
      </c>
    </row>
    <row r="42" spans="2:6">
      <c r="B42" t="s">
        <v>144</v>
      </c>
      <c r="D42">
        <f>D4*D28</f>
        <v>7</v>
      </c>
      <c r="E42" t="s">
        <v>102</v>
      </c>
    </row>
    <row r="44" spans="2:6">
      <c r="B44" t="s">
        <v>145</v>
      </c>
      <c r="D44">
        <f>D42*D6</f>
        <v>700</v>
      </c>
      <c r="E44" t="s">
        <v>49</v>
      </c>
    </row>
    <row r="45" spans="2:6">
      <c r="B45" t="s">
        <v>146</v>
      </c>
      <c r="D45" s="9">
        <f>D39*D41*0.5</f>
        <v>1138.0313043478261</v>
      </c>
      <c r="E45" t="s">
        <v>49</v>
      </c>
      <c r="F45" t="s">
        <v>192</v>
      </c>
    </row>
    <row r="46" spans="2:6">
      <c r="B46" t="s">
        <v>147</v>
      </c>
      <c r="D46">
        <f>D38*D42</f>
        <v>1321.6</v>
      </c>
      <c r="E46" t="s">
        <v>49</v>
      </c>
    </row>
    <row r="48" spans="2:6">
      <c r="B48" t="s">
        <v>193</v>
      </c>
      <c r="D48" s="11">
        <f>(0.5*D28*((D28/D41)*D39)*D26)*(2*D3)</f>
        <v>563.49999999999977</v>
      </c>
      <c r="E48" t="s">
        <v>48</v>
      </c>
      <c r="F48" t="s">
        <v>195</v>
      </c>
    </row>
    <row r="49" spans="1:8">
      <c r="B49" t="s">
        <v>194</v>
      </c>
      <c r="D49" s="11">
        <f>(D28*D37*D39*0.5)*(2*D3)+D48</f>
        <v>8123.0519999999997</v>
      </c>
      <c r="E49" t="s">
        <v>48</v>
      </c>
    </row>
    <row r="50" spans="1:8">
      <c r="B50" t="s">
        <v>149</v>
      </c>
      <c r="D50">
        <f>D42*D10</f>
        <v>32.199999999999996</v>
      </c>
      <c r="E50" t="s">
        <v>49</v>
      </c>
    </row>
    <row r="51" spans="1:8">
      <c r="B51" t="s">
        <v>150</v>
      </c>
      <c r="D51">
        <f>INT(D44*D29)</f>
        <v>35</v>
      </c>
      <c r="E51" t="s">
        <v>5</v>
      </c>
    </row>
    <row r="54" spans="1:8">
      <c r="A54" s="2" t="s">
        <v>26</v>
      </c>
    </row>
    <row r="55" spans="1:8" ht="15.75" thickBot="1">
      <c r="B55" s="1" t="s">
        <v>1</v>
      </c>
      <c r="C55" s="1" t="s">
        <v>2</v>
      </c>
      <c r="D55" s="1" t="s">
        <v>3</v>
      </c>
      <c r="E55" s="1" t="s">
        <v>616</v>
      </c>
      <c r="F55" s="1" t="s">
        <v>4</v>
      </c>
      <c r="G55" s="1" t="s">
        <v>643</v>
      </c>
      <c r="H55" s="1" t="s">
        <v>3</v>
      </c>
    </row>
    <row r="56" spans="1:8">
      <c r="A56" s="4" t="s">
        <v>166</v>
      </c>
      <c r="B56" t="s">
        <v>152</v>
      </c>
      <c r="C56" s="14">
        <f>D51*D30</f>
        <v>84.000000000000014</v>
      </c>
      <c r="D56" s="4" t="s">
        <v>48</v>
      </c>
      <c r="E56" t="s">
        <v>670</v>
      </c>
      <c r="F56" s="13" t="s">
        <v>681</v>
      </c>
      <c r="G56">
        <f>D51*15</f>
        <v>525</v>
      </c>
      <c r="H56" t="s">
        <v>21</v>
      </c>
    </row>
    <row r="57" spans="1:8">
      <c r="A57" s="4" t="s">
        <v>167</v>
      </c>
      <c r="B57" t="s">
        <v>197</v>
      </c>
      <c r="C57" s="14">
        <f>D48</f>
        <v>563.49999999999977</v>
      </c>
      <c r="D57" s="4" t="s">
        <v>48</v>
      </c>
      <c r="E57" s="13" t="s">
        <v>699</v>
      </c>
      <c r="F57" s="4" t="s">
        <v>196</v>
      </c>
      <c r="G57" s="15">
        <f>C57</f>
        <v>563.49999999999977</v>
      </c>
      <c r="H57" t="s">
        <v>48</v>
      </c>
    </row>
    <row r="58" spans="1:8">
      <c r="A58" s="4"/>
      <c r="B58" t="s">
        <v>153</v>
      </c>
      <c r="C58" s="14">
        <f>D49</f>
        <v>8123.0519999999997</v>
      </c>
      <c r="D58" s="4" t="s">
        <v>48</v>
      </c>
      <c r="E58" s="13" t="s">
        <v>699</v>
      </c>
      <c r="F58" s="4"/>
      <c r="G58" s="15">
        <f>C58</f>
        <v>8123.0519999999997</v>
      </c>
      <c r="H58" t="s">
        <v>48</v>
      </c>
    </row>
    <row r="59" spans="1:8">
      <c r="A59" s="4" t="s">
        <v>38</v>
      </c>
      <c r="B59" t="s">
        <v>154</v>
      </c>
      <c r="C59" s="14">
        <f>D50</f>
        <v>32.199999999999996</v>
      </c>
      <c r="D59" s="4" t="s">
        <v>49</v>
      </c>
      <c r="E59" t="s">
        <v>634</v>
      </c>
      <c r="F59" t="s">
        <v>155</v>
      </c>
      <c r="G59" s="15">
        <f>C59</f>
        <v>32.199999999999996</v>
      </c>
      <c r="H59" t="s">
        <v>49</v>
      </c>
    </row>
    <row r="60" spans="1:8">
      <c r="A60" s="4"/>
      <c r="B60" t="s">
        <v>156</v>
      </c>
      <c r="C60" s="16">
        <f>D42*2*D21*((100-D17)/100)</f>
        <v>83.748000000000005</v>
      </c>
      <c r="D60" s="4" t="s">
        <v>48</v>
      </c>
      <c r="E60" t="s">
        <v>617</v>
      </c>
      <c r="F60" t="s">
        <v>157</v>
      </c>
      <c r="G60" s="15">
        <f>C60</f>
        <v>83.748000000000005</v>
      </c>
      <c r="H60" t="s">
        <v>48</v>
      </c>
    </row>
    <row r="61" spans="1:8">
      <c r="A61" s="4"/>
      <c r="B61" t="s">
        <v>158</v>
      </c>
      <c r="C61" s="16">
        <f>D42*2*D21*(D17/100)*D18</f>
        <v>1.9656</v>
      </c>
      <c r="D61" s="4" t="s">
        <v>159</v>
      </c>
      <c r="E61" s="13" t="s">
        <v>620</v>
      </c>
      <c r="F61" s="13"/>
      <c r="G61" s="15">
        <f>C61*1000</f>
        <v>1965.6</v>
      </c>
      <c r="H61" t="s">
        <v>644</v>
      </c>
    </row>
    <row r="62" spans="1:8">
      <c r="A62" s="4" t="s">
        <v>39</v>
      </c>
      <c r="B62" t="s">
        <v>160</v>
      </c>
      <c r="C62" s="16">
        <f>D44*D19*((100-D20)/100)*((100-D17)/100)</f>
        <v>279.16000000000003</v>
      </c>
      <c r="D62" s="4" t="s">
        <v>48</v>
      </c>
      <c r="E62" s="13" t="s">
        <v>617</v>
      </c>
      <c r="F62" s="13"/>
      <c r="G62" s="15">
        <f>C62</f>
        <v>279.16000000000003</v>
      </c>
      <c r="H62" t="s">
        <v>48</v>
      </c>
    </row>
    <row r="63" spans="1:8">
      <c r="A63" s="4"/>
      <c r="B63" t="s">
        <v>161</v>
      </c>
      <c r="C63" s="16">
        <f>D44*D19*((100-D20)/100)*(D17/100)*D18</f>
        <v>6.5519999999999996</v>
      </c>
      <c r="D63" s="4" t="s">
        <v>159</v>
      </c>
      <c r="E63" s="13" t="s">
        <v>619</v>
      </c>
      <c r="F63" s="13"/>
      <c r="G63" s="15">
        <f>C63*1000</f>
        <v>6552</v>
      </c>
      <c r="H63" t="s">
        <v>644</v>
      </c>
    </row>
    <row r="64" spans="1:8">
      <c r="A64" s="4"/>
      <c r="B64" t="s">
        <v>162</v>
      </c>
      <c r="C64" s="14">
        <f>D35*D22*((100-D17)/100)</f>
        <v>145.56200000000001</v>
      </c>
      <c r="D64" s="4" t="s">
        <v>48</v>
      </c>
      <c r="E64" s="13" t="s">
        <v>617</v>
      </c>
      <c r="F64" s="13"/>
      <c r="G64" s="15">
        <f>C64</f>
        <v>145.56200000000001</v>
      </c>
      <c r="H64" t="s">
        <v>48</v>
      </c>
    </row>
    <row r="65" spans="1:8">
      <c r="A65" s="4"/>
      <c r="B65" t="s">
        <v>163</v>
      </c>
      <c r="C65" s="14">
        <f>D35*D22*(D17/100)*D18</f>
        <v>3.4163999999999999</v>
      </c>
      <c r="D65" s="4" t="s">
        <v>159</v>
      </c>
      <c r="E65" s="13" t="s">
        <v>620</v>
      </c>
      <c r="F65" s="13"/>
      <c r="G65" s="15">
        <f>C65*1000</f>
        <v>3416.4</v>
      </c>
      <c r="H65" t="s">
        <v>644</v>
      </c>
    </row>
    <row r="66" spans="1:8">
      <c r="A66" s="4" t="s">
        <v>168</v>
      </c>
      <c r="B66" t="s">
        <v>27</v>
      </c>
      <c r="C66" s="15">
        <f>D44*D11</f>
        <v>49.000000000000007</v>
      </c>
      <c r="D66" s="4" t="s">
        <v>48</v>
      </c>
      <c r="E66" t="s">
        <v>635</v>
      </c>
      <c r="F66" t="s">
        <v>645</v>
      </c>
      <c r="G66" s="29">
        <f>C66*2.5*1000</f>
        <v>122500.00000000001</v>
      </c>
      <c r="H66" t="s">
        <v>644</v>
      </c>
    </row>
    <row r="67" spans="1:8">
      <c r="A67" s="4"/>
      <c r="B67" s="13" t="s">
        <v>164</v>
      </c>
      <c r="C67" s="30">
        <f>D44*D16</f>
        <v>35</v>
      </c>
      <c r="D67" s="49" t="s">
        <v>48</v>
      </c>
      <c r="E67" s="13" t="s">
        <v>638</v>
      </c>
      <c r="F67" s="13" t="s">
        <v>645</v>
      </c>
      <c r="G67" s="54">
        <f>C67*2.5*1000</f>
        <v>87500</v>
      </c>
      <c r="H67" t="s">
        <v>644</v>
      </c>
    </row>
    <row r="68" spans="1:8">
      <c r="A68" s="4"/>
      <c r="B68" s="13" t="s">
        <v>601</v>
      </c>
      <c r="C68" s="30">
        <f>D44</f>
        <v>700</v>
      </c>
      <c r="D68" s="13" t="s">
        <v>49</v>
      </c>
      <c r="E68" s="13" t="s">
        <v>668</v>
      </c>
      <c r="F68" s="49" t="s">
        <v>607</v>
      </c>
      <c r="G68" s="54">
        <f>C68</f>
        <v>700</v>
      </c>
      <c r="H68" s="13" t="s">
        <v>49</v>
      </c>
    </row>
    <row r="69" spans="1:8">
      <c r="A69" t="s">
        <v>183</v>
      </c>
      <c r="B69" s="13" t="s">
        <v>27</v>
      </c>
      <c r="C69" s="30">
        <f>2*(D42*D3*D40*D11)</f>
        <v>448.58811810996514</v>
      </c>
      <c r="D69" s="13" t="s">
        <v>48</v>
      </c>
      <c r="E69" s="13" t="s">
        <v>635</v>
      </c>
      <c r="F69" s="13" t="s">
        <v>645</v>
      </c>
      <c r="G69" s="54">
        <f>C69*2.5*1000</f>
        <v>1121470.2952749128</v>
      </c>
      <c r="H69" s="13" t="s">
        <v>644</v>
      </c>
    </row>
    <row r="70" spans="1:8">
      <c r="B70" s="13" t="s">
        <v>29</v>
      </c>
      <c r="C70" s="30">
        <f>2*(D42*D3*D40*(D12+D13))</f>
        <v>1602.1004218213038</v>
      </c>
      <c r="D70" s="13" t="s">
        <v>48</v>
      </c>
      <c r="E70" s="13" t="s">
        <v>638</v>
      </c>
      <c r="F70" s="13" t="s">
        <v>645</v>
      </c>
      <c r="G70" s="54">
        <f>C70*2.5*1000</f>
        <v>4005251.0545532596</v>
      </c>
      <c r="H70" s="13" t="s">
        <v>644</v>
      </c>
    </row>
    <row r="71" spans="1:8">
      <c r="B71" s="13" t="s">
        <v>601</v>
      </c>
      <c r="C71" s="30">
        <f>2*(D42*D3*D40)*2</f>
        <v>12816.803374570431</v>
      </c>
      <c r="D71" s="13" t="s">
        <v>49</v>
      </c>
      <c r="E71" s="13" t="s">
        <v>668</v>
      </c>
      <c r="F71" s="49" t="s">
        <v>602</v>
      </c>
      <c r="G71" s="54">
        <f>C71</f>
        <v>12816.803374570431</v>
      </c>
      <c r="H71" s="13" t="s">
        <v>49</v>
      </c>
    </row>
    <row r="72" spans="1:8">
      <c r="B72" t="s">
        <v>30</v>
      </c>
      <c r="C72" s="15">
        <f>2*(D42*D3*D40)</f>
        <v>6408.4016872852153</v>
      </c>
      <c r="D72" t="s">
        <v>49</v>
      </c>
      <c r="E72" t="s">
        <v>623</v>
      </c>
      <c r="G72" s="15">
        <f>C72*0.25</f>
        <v>1602.1004218213038</v>
      </c>
      <c r="H72" t="s">
        <v>48</v>
      </c>
    </row>
    <row r="73" spans="1:8">
      <c r="B73" t="s">
        <v>31</v>
      </c>
      <c r="C73" s="15">
        <f>2*(D42*D3*D40*D15)</f>
        <v>3204.2008436426077</v>
      </c>
      <c r="D73" t="s">
        <v>48</v>
      </c>
      <c r="E73" t="s">
        <v>639</v>
      </c>
      <c r="G73" s="29">
        <f>C73</f>
        <v>3204.2008436426077</v>
      </c>
      <c r="H73" t="s">
        <v>48</v>
      </c>
    </row>
    <row r="76" spans="1:8">
      <c r="A76" s="89"/>
    </row>
    <row r="77" spans="1:8">
      <c r="A77" s="87"/>
    </row>
  </sheetData>
  <pageMargins left="0.7" right="0.7" top="0.75" bottom="0.75" header="0.3" footer="0.3"/>
  <pageSetup orientation="portrait" horizontalDpi="300" verticalDpi="300" r:id="rId1"/>
  <legacy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theme="8"/>
  </sheetPr>
  <dimension ref="A1:H30"/>
  <sheetViews>
    <sheetView zoomScale="70" zoomScaleNormal="70" workbookViewId="0">
      <selection activeCell="A26" sqref="A26:A28"/>
    </sheetView>
  </sheetViews>
  <sheetFormatPr defaultRowHeight="15"/>
  <cols>
    <col min="1" max="1" width="20.28515625" bestFit="1" customWidth="1"/>
    <col min="2" max="2" width="52.85546875" bestFit="1" customWidth="1"/>
    <col min="3" max="3" width="9.140625" bestFit="1" customWidth="1"/>
    <col min="4" max="4" width="11" bestFit="1" customWidth="1"/>
    <col min="5" max="5" width="87.7109375" bestFit="1" customWidth="1"/>
    <col min="6" max="7" width="21.7109375" bestFit="1" customWidth="1"/>
    <col min="8" max="8" width="19.42578125" customWidth="1"/>
    <col min="9" max="9" width="15.42578125" bestFit="1" customWidth="1"/>
  </cols>
  <sheetData>
    <row r="1" spans="1:6">
      <c r="A1" s="2" t="s">
        <v>0</v>
      </c>
    </row>
    <row r="2" spans="1:6" ht="15.75" thickBot="1">
      <c r="B2" s="1" t="s">
        <v>1</v>
      </c>
      <c r="C2" s="1"/>
      <c r="D2" s="1" t="s">
        <v>2</v>
      </c>
      <c r="E2" s="1" t="s">
        <v>3</v>
      </c>
      <c r="F2" s="1" t="s">
        <v>4</v>
      </c>
    </row>
    <row r="3" spans="1:6">
      <c r="B3" t="s">
        <v>268</v>
      </c>
      <c r="D3">
        <v>1</v>
      </c>
      <c r="E3" t="s">
        <v>10</v>
      </c>
    </row>
    <row r="5" spans="1:6">
      <c r="A5" s="2" t="s">
        <v>11</v>
      </c>
    </row>
    <row r="6" spans="1:6" ht="15.75" thickBot="1">
      <c r="B6" s="1" t="s">
        <v>1</v>
      </c>
      <c r="C6" s="1"/>
      <c r="D6" s="1" t="s">
        <v>2</v>
      </c>
      <c r="E6" s="1" t="s">
        <v>3</v>
      </c>
      <c r="F6" s="1" t="s">
        <v>4</v>
      </c>
    </row>
    <row r="7" spans="1:6">
      <c r="B7" t="s">
        <v>269</v>
      </c>
      <c r="D7">
        <v>4</v>
      </c>
      <c r="E7" t="s">
        <v>21</v>
      </c>
    </row>
    <row r="8" spans="1:6">
      <c r="B8" t="s">
        <v>270</v>
      </c>
      <c r="D8">
        <v>4.8</v>
      </c>
      <c r="E8" t="s">
        <v>21</v>
      </c>
    </row>
    <row r="9" spans="1:6">
      <c r="B9" t="s">
        <v>271</v>
      </c>
      <c r="D9">
        <f>0.25/0.4</f>
        <v>0.625</v>
      </c>
      <c r="F9" t="s">
        <v>272</v>
      </c>
    </row>
    <row r="10" spans="1:6">
      <c r="B10" t="s">
        <v>16</v>
      </c>
      <c r="D10">
        <v>7.0000000000000007E-2</v>
      </c>
      <c r="E10" t="s">
        <v>21</v>
      </c>
    </row>
    <row r="11" spans="1:6">
      <c r="B11" t="s">
        <v>18</v>
      </c>
      <c r="D11">
        <v>0.18</v>
      </c>
      <c r="E11" t="s">
        <v>21</v>
      </c>
    </row>
    <row r="12" spans="1:6">
      <c r="B12" t="s">
        <v>19</v>
      </c>
      <c r="D12">
        <v>0.25</v>
      </c>
      <c r="E12" t="s">
        <v>21</v>
      </c>
    </row>
    <row r="13" spans="1:6">
      <c r="B13" t="s">
        <v>20</v>
      </c>
      <c r="D13">
        <v>0.5</v>
      </c>
      <c r="E13" t="s">
        <v>21</v>
      </c>
    </row>
    <row r="14" spans="1:6">
      <c r="B14" t="s">
        <v>14</v>
      </c>
      <c r="D14">
        <v>25</v>
      </c>
      <c r="E14" t="s">
        <v>22</v>
      </c>
    </row>
    <row r="16" spans="1:6">
      <c r="A16" s="2" t="s">
        <v>26</v>
      </c>
    </row>
    <row r="17" spans="1:8" ht="15.75" thickBot="1">
      <c r="B17" s="1" t="s">
        <v>1</v>
      </c>
      <c r="C17" s="1" t="s">
        <v>2</v>
      </c>
      <c r="D17" s="1" t="s">
        <v>3</v>
      </c>
      <c r="E17" s="1" t="s">
        <v>616</v>
      </c>
      <c r="F17" s="1" t="s">
        <v>4</v>
      </c>
      <c r="G17" s="1" t="s">
        <v>643</v>
      </c>
      <c r="H17" s="1" t="s">
        <v>3</v>
      </c>
    </row>
    <row r="18" spans="1:8">
      <c r="B18" t="s">
        <v>27</v>
      </c>
      <c r="C18">
        <f>D7*D10*D3*1000</f>
        <v>280</v>
      </c>
      <c r="D18" t="s">
        <v>48</v>
      </c>
      <c r="E18" t="s">
        <v>660</v>
      </c>
      <c r="F18" t="s">
        <v>645</v>
      </c>
      <c r="G18" s="29">
        <f>C18*2.5*1000</f>
        <v>700000</v>
      </c>
      <c r="H18" t="s">
        <v>644</v>
      </c>
    </row>
    <row r="19" spans="1:8">
      <c r="B19" t="s">
        <v>273</v>
      </c>
      <c r="C19">
        <f>D7*D11*D3*1000</f>
        <v>720</v>
      </c>
      <c r="D19" t="s">
        <v>48</v>
      </c>
      <c r="E19" t="s">
        <v>638</v>
      </c>
      <c r="F19" t="s">
        <v>645</v>
      </c>
      <c r="G19" s="29">
        <f>C19*2.5*1000</f>
        <v>1800000</v>
      </c>
      <c r="H19" t="s">
        <v>644</v>
      </c>
    </row>
    <row r="20" spans="1:8">
      <c r="B20" t="s">
        <v>601</v>
      </c>
      <c r="C20" s="15">
        <f>D7*D3*1000</f>
        <v>4000</v>
      </c>
      <c r="D20" t="s">
        <v>49</v>
      </c>
      <c r="E20" s="13" t="s">
        <v>688</v>
      </c>
      <c r="F20" s="13"/>
      <c r="G20" s="54">
        <f>C20</f>
        <v>4000</v>
      </c>
      <c r="H20" s="13" t="s">
        <v>49</v>
      </c>
    </row>
    <row r="21" spans="1:8">
      <c r="B21" t="s">
        <v>30</v>
      </c>
      <c r="C21">
        <f>((D7+D8)/2)*D3*1000</f>
        <v>4400</v>
      </c>
      <c r="D21" t="s">
        <v>49</v>
      </c>
      <c r="E21" t="s">
        <v>623</v>
      </c>
      <c r="G21" s="15">
        <f>C21*0.25</f>
        <v>1100</v>
      </c>
      <c r="H21" t="s">
        <v>48</v>
      </c>
    </row>
    <row r="22" spans="1:8">
      <c r="B22" t="s">
        <v>31</v>
      </c>
      <c r="C22">
        <f>D8*D13*D3*1000</f>
        <v>2400</v>
      </c>
      <c r="D22" t="s">
        <v>48</v>
      </c>
      <c r="E22" t="s">
        <v>639</v>
      </c>
      <c r="G22" s="29">
        <f>C22</f>
        <v>2400</v>
      </c>
      <c r="H22" t="s">
        <v>48</v>
      </c>
    </row>
    <row r="23" spans="1:8">
      <c r="B23" t="s">
        <v>306</v>
      </c>
      <c r="C23">
        <f>(D14/100)*D3</f>
        <v>0.25</v>
      </c>
      <c r="D23" t="s">
        <v>10</v>
      </c>
      <c r="E23" t="s">
        <v>621</v>
      </c>
      <c r="G23" s="29">
        <f>C23*1000</f>
        <v>250</v>
      </c>
      <c r="H23" t="s">
        <v>21</v>
      </c>
    </row>
    <row r="24" spans="1:8">
      <c r="A24" s="17"/>
    </row>
    <row r="25" spans="1:8">
      <c r="A25" s="87"/>
    </row>
    <row r="26" spans="1:8">
      <c r="A26" s="89"/>
    </row>
    <row r="27" spans="1:8">
      <c r="A27" s="87"/>
    </row>
    <row r="28" spans="1:8">
      <c r="A28" s="87"/>
    </row>
    <row r="29" spans="1:8">
      <c r="A29" s="87"/>
    </row>
    <row r="30" spans="1:8">
      <c r="A30" s="87"/>
    </row>
  </sheetData>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H30"/>
  <sheetViews>
    <sheetView zoomScale="70" zoomScaleNormal="70" workbookViewId="0">
      <selection activeCell="B42" sqref="B42"/>
    </sheetView>
  </sheetViews>
  <sheetFormatPr defaultRowHeight="15"/>
  <cols>
    <col min="1" max="1" width="20.28515625" bestFit="1" customWidth="1"/>
    <col min="2" max="2" width="52.85546875" bestFit="1" customWidth="1"/>
    <col min="3" max="3" width="10" bestFit="1" customWidth="1"/>
    <col min="4" max="4" width="11" bestFit="1" customWidth="1"/>
    <col min="5" max="5" width="51" bestFit="1" customWidth="1"/>
    <col min="6" max="6" width="75.42578125" bestFit="1" customWidth="1"/>
    <col min="7" max="7" width="15.85546875" bestFit="1" customWidth="1"/>
    <col min="8" max="8" width="11" bestFit="1" customWidth="1"/>
    <col min="9" max="9" width="15.42578125" bestFit="1" customWidth="1"/>
    <col min="10" max="10" width="10.7109375" bestFit="1" customWidth="1"/>
  </cols>
  <sheetData>
    <row r="1" spans="1:6">
      <c r="A1" s="2" t="s">
        <v>0</v>
      </c>
    </row>
    <row r="2" spans="1:6" ht="15.75" thickBot="1">
      <c r="B2" s="1" t="s">
        <v>1</v>
      </c>
      <c r="C2" s="1"/>
      <c r="D2" s="1" t="s">
        <v>2</v>
      </c>
      <c r="E2" s="1" t="s">
        <v>3</v>
      </c>
      <c r="F2" s="1" t="s">
        <v>4</v>
      </c>
    </row>
    <row r="3" spans="1:6">
      <c r="B3" t="s">
        <v>290</v>
      </c>
      <c r="D3">
        <v>1</v>
      </c>
      <c r="E3" t="s">
        <v>5</v>
      </c>
    </row>
    <row r="5" spans="1:6">
      <c r="A5" s="2" t="s">
        <v>11</v>
      </c>
    </row>
    <row r="6" spans="1:6" ht="15.75" thickBot="1">
      <c r="B6" s="1" t="s">
        <v>1</v>
      </c>
      <c r="C6" s="1"/>
      <c r="D6" s="1" t="s">
        <v>2</v>
      </c>
      <c r="E6" s="1" t="s">
        <v>3</v>
      </c>
      <c r="F6" s="1" t="s">
        <v>4</v>
      </c>
    </row>
    <row r="7" spans="1:6">
      <c r="B7" t="s">
        <v>291</v>
      </c>
      <c r="D7">
        <v>2.5</v>
      </c>
      <c r="E7" t="s">
        <v>21</v>
      </c>
    </row>
    <row r="8" spans="1:6">
      <c r="B8" t="s">
        <v>292</v>
      </c>
      <c r="D8">
        <v>5</v>
      </c>
      <c r="E8" t="s">
        <v>21</v>
      </c>
    </row>
    <row r="9" spans="1:6">
      <c r="B9" t="s">
        <v>293</v>
      </c>
      <c r="D9">
        <v>6</v>
      </c>
      <c r="E9" t="s">
        <v>21</v>
      </c>
    </row>
    <row r="10" spans="1:6">
      <c r="B10" t="s">
        <v>294</v>
      </c>
      <c r="D10">
        <v>3.5000000000000003E-2</v>
      </c>
      <c r="E10" t="s">
        <v>21</v>
      </c>
    </row>
    <row r="11" spans="1:6">
      <c r="B11" t="s">
        <v>295</v>
      </c>
      <c r="D11">
        <v>4.4999999999999998E-2</v>
      </c>
      <c r="E11" t="s">
        <v>21</v>
      </c>
    </row>
    <row r="12" spans="1:6">
      <c r="B12" t="s">
        <v>296</v>
      </c>
      <c r="D12">
        <v>0.06</v>
      </c>
      <c r="E12" t="s">
        <v>21</v>
      </c>
    </row>
    <row r="13" spans="1:6">
      <c r="B13" t="s">
        <v>280</v>
      </c>
      <c r="D13">
        <v>0.25</v>
      </c>
      <c r="E13" t="s">
        <v>21</v>
      </c>
    </row>
    <row r="14" spans="1:6">
      <c r="B14" t="s">
        <v>281</v>
      </c>
      <c r="D14">
        <v>0.3</v>
      </c>
      <c r="E14" t="s">
        <v>21</v>
      </c>
    </row>
    <row r="15" spans="1:6">
      <c r="B15" t="s">
        <v>297</v>
      </c>
      <c r="D15">
        <v>50</v>
      </c>
      <c r="E15" t="s">
        <v>22</v>
      </c>
    </row>
    <row r="18" spans="1:8">
      <c r="A18" s="2" t="s">
        <v>26</v>
      </c>
    </row>
    <row r="19" spans="1:8" ht="15.75" thickBot="1">
      <c r="B19" s="1" t="s">
        <v>1</v>
      </c>
      <c r="C19" s="1" t="s">
        <v>2</v>
      </c>
      <c r="D19" s="1" t="s">
        <v>3</v>
      </c>
      <c r="E19" s="1" t="s">
        <v>616</v>
      </c>
      <c r="F19" s="1" t="s">
        <v>4</v>
      </c>
      <c r="G19" s="1" t="s">
        <v>643</v>
      </c>
      <c r="H19" s="1" t="s">
        <v>3</v>
      </c>
    </row>
    <row r="20" spans="1:8">
      <c r="A20" t="s">
        <v>391</v>
      </c>
      <c r="B20" t="s">
        <v>298</v>
      </c>
      <c r="C20">
        <f>(($D$7*$D$8)+($D$7*$D$9/2))*D10</f>
        <v>0.70000000000000007</v>
      </c>
      <c r="D20" t="s">
        <v>48</v>
      </c>
      <c r="E20" t="s">
        <v>660</v>
      </c>
      <c r="F20" t="s">
        <v>645</v>
      </c>
      <c r="G20">
        <f>C20*2.5*1000</f>
        <v>1750.0000000000002</v>
      </c>
      <c r="H20" t="s">
        <v>644</v>
      </c>
    </row>
    <row r="21" spans="1:8">
      <c r="B21" t="s">
        <v>279</v>
      </c>
      <c r="C21">
        <f>(($D$7*$D$8)+($D$7*$D$9/2))*D11</f>
        <v>0.89999999999999991</v>
      </c>
      <c r="D21" t="s">
        <v>48</v>
      </c>
      <c r="E21" t="s">
        <v>638</v>
      </c>
      <c r="F21" t="s">
        <v>645</v>
      </c>
      <c r="G21" s="29">
        <f>C21*2.5*1000</f>
        <v>2250</v>
      </c>
      <c r="H21" t="s">
        <v>644</v>
      </c>
    </row>
    <row r="22" spans="1:8">
      <c r="B22" t="s">
        <v>273</v>
      </c>
      <c r="C22">
        <f t="shared" ref="C22" si="0">(($D$7*$D$8)+($D$7*$D$9/2))*D12</f>
        <v>1.2</v>
      </c>
      <c r="D22" t="s">
        <v>48</v>
      </c>
      <c r="E22" t="s">
        <v>638</v>
      </c>
      <c r="F22" t="s">
        <v>645</v>
      </c>
      <c r="G22" s="29">
        <f>C22*2.5*1000</f>
        <v>3000</v>
      </c>
      <c r="H22" t="s">
        <v>644</v>
      </c>
    </row>
    <row r="23" spans="1:8">
      <c r="B23" t="s">
        <v>601</v>
      </c>
      <c r="C23" s="15">
        <f>(($D$7*$D$8)+($D$7*$D$9/2))*2</f>
        <v>40</v>
      </c>
      <c r="D23" t="s">
        <v>49</v>
      </c>
      <c r="E23" s="13" t="s">
        <v>668</v>
      </c>
      <c r="F23" s="4" t="s">
        <v>602</v>
      </c>
      <c r="G23" s="54">
        <f>C23</f>
        <v>40</v>
      </c>
      <c r="H23" s="13" t="s">
        <v>49</v>
      </c>
    </row>
    <row r="24" spans="1:8">
      <c r="B24" t="s">
        <v>37</v>
      </c>
      <c r="C24">
        <f>(($D$7*$D$8)+($D$7*$D$9/2))</f>
        <v>20</v>
      </c>
      <c r="D24" t="s">
        <v>49</v>
      </c>
      <c r="E24" t="s">
        <v>623</v>
      </c>
      <c r="G24" s="15">
        <f>C24*0.25</f>
        <v>5</v>
      </c>
      <c r="H24" t="s">
        <v>48</v>
      </c>
    </row>
    <row r="25" spans="1:8">
      <c r="B25" t="s">
        <v>31</v>
      </c>
      <c r="C25">
        <f>(($D$7*$D$8)+($D$7*$D$9/2))*D14</f>
        <v>6</v>
      </c>
      <c r="D25" t="s">
        <v>48</v>
      </c>
      <c r="E25" t="s">
        <v>639</v>
      </c>
      <c r="G25" s="29">
        <f>C25</f>
        <v>6</v>
      </c>
      <c r="H25" t="s">
        <v>48</v>
      </c>
    </row>
    <row r="26" spans="1:8">
      <c r="B26" t="s">
        <v>299</v>
      </c>
      <c r="C26">
        <f>D7*(D15/100)/1000*D3</f>
        <v>1.25E-3</v>
      </c>
      <c r="D26" t="s">
        <v>300</v>
      </c>
      <c r="E26" t="s">
        <v>621</v>
      </c>
      <c r="F26" t="s">
        <v>301</v>
      </c>
      <c r="G26" s="29">
        <f>C26*1000</f>
        <v>1.25</v>
      </c>
      <c r="H26" t="s">
        <v>21</v>
      </c>
    </row>
    <row r="27" spans="1:8">
      <c r="A27" s="17"/>
    </row>
    <row r="29" spans="1:8">
      <c r="A29" s="89"/>
    </row>
    <row r="30" spans="1:8">
      <c r="A30" s="87"/>
    </row>
  </sheetData>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8"/>
  </sheetPr>
  <dimension ref="A1:J36"/>
  <sheetViews>
    <sheetView zoomScale="70" zoomScaleNormal="70" workbookViewId="0">
      <selection activeCell="B45" sqref="B45"/>
    </sheetView>
  </sheetViews>
  <sheetFormatPr defaultRowHeight="15"/>
  <cols>
    <col min="1" max="1" width="20.28515625" bestFit="1" customWidth="1"/>
    <col min="2" max="2" width="52.85546875" bestFit="1" customWidth="1"/>
    <col min="3" max="3" width="9.140625" bestFit="1" customWidth="1"/>
    <col min="4" max="4" width="11" bestFit="1" customWidth="1"/>
    <col min="5" max="5" width="73" bestFit="1" customWidth="1"/>
    <col min="6" max="6" width="13.85546875" bestFit="1" customWidth="1"/>
    <col min="7" max="7" width="15.85546875" bestFit="1" customWidth="1"/>
    <col min="8" max="9" width="11" bestFit="1" customWidth="1"/>
    <col min="10" max="10" width="10.7109375" bestFit="1" customWidth="1"/>
  </cols>
  <sheetData>
    <row r="1" spans="1:10">
      <c r="A1" s="2" t="s">
        <v>0</v>
      </c>
    </row>
    <row r="2" spans="1:10" ht="15.75" thickBot="1">
      <c r="B2" s="1" t="s">
        <v>1</v>
      </c>
      <c r="C2" s="1"/>
      <c r="D2" s="1" t="s">
        <v>2</v>
      </c>
      <c r="E2" s="1" t="s">
        <v>3</v>
      </c>
      <c r="F2" s="1" t="s">
        <v>4</v>
      </c>
    </row>
    <row r="3" spans="1:10">
      <c r="B3" t="s">
        <v>302</v>
      </c>
      <c r="D3">
        <v>1</v>
      </c>
      <c r="E3" t="s">
        <v>5</v>
      </c>
    </row>
    <row r="5" spans="1:10">
      <c r="H5" s="13"/>
      <c r="I5" s="13"/>
      <c r="J5" s="13"/>
    </row>
    <row r="6" spans="1:10">
      <c r="H6" s="13"/>
      <c r="I6" s="13"/>
      <c r="J6" s="13"/>
    </row>
    <row r="7" spans="1:10">
      <c r="H7" s="13"/>
      <c r="I7" s="13"/>
      <c r="J7" s="13"/>
    </row>
    <row r="8" spans="1:10">
      <c r="A8" s="2" t="s">
        <v>11</v>
      </c>
      <c r="H8" s="13"/>
      <c r="I8" s="13"/>
      <c r="J8" s="13"/>
    </row>
    <row r="9" spans="1:10" ht="15.75" thickBot="1">
      <c r="B9" s="1" t="s">
        <v>1</v>
      </c>
      <c r="C9" s="1"/>
      <c r="D9" s="1" t="s">
        <v>2</v>
      </c>
      <c r="E9" s="1" t="s">
        <v>3</v>
      </c>
      <c r="F9" s="1" t="s">
        <v>4</v>
      </c>
      <c r="H9" s="13"/>
      <c r="I9" s="13"/>
      <c r="J9" s="13"/>
    </row>
    <row r="10" spans="1:10">
      <c r="B10" t="s">
        <v>291</v>
      </c>
      <c r="D10">
        <v>4</v>
      </c>
      <c r="E10" t="s">
        <v>21</v>
      </c>
      <c r="H10" s="13"/>
      <c r="I10" s="13"/>
      <c r="J10" s="13"/>
    </row>
    <row r="11" spans="1:10">
      <c r="B11" t="s">
        <v>292</v>
      </c>
      <c r="D11">
        <v>12</v>
      </c>
      <c r="E11" t="s">
        <v>21</v>
      </c>
      <c r="H11" s="13"/>
      <c r="I11" s="13"/>
      <c r="J11" s="13"/>
    </row>
    <row r="12" spans="1:10">
      <c r="B12" t="s">
        <v>303</v>
      </c>
      <c r="D12">
        <v>6</v>
      </c>
      <c r="E12" t="s">
        <v>21</v>
      </c>
      <c r="H12" s="13"/>
      <c r="I12" s="13"/>
      <c r="J12" s="13"/>
    </row>
    <row r="13" spans="1:10">
      <c r="B13" t="s">
        <v>304</v>
      </c>
      <c r="D13">
        <v>0.25</v>
      </c>
      <c r="E13" t="s">
        <v>21</v>
      </c>
      <c r="H13" s="13"/>
      <c r="I13" s="13"/>
      <c r="J13" s="13"/>
    </row>
    <row r="14" spans="1:10">
      <c r="B14" t="s">
        <v>280</v>
      </c>
      <c r="D14">
        <v>0.25</v>
      </c>
      <c r="E14" t="s">
        <v>21</v>
      </c>
      <c r="H14" s="13"/>
      <c r="I14" s="13"/>
      <c r="J14" s="13"/>
    </row>
    <row r="15" spans="1:10">
      <c r="B15" t="s">
        <v>281</v>
      </c>
      <c r="D15">
        <v>0.3</v>
      </c>
      <c r="E15" t="s">
        <v>21</v>
      </c>
      <c r="H15" s="13"/>
      <c r="I15" s="13"/>
      <c r="J15" s="13"/>
    </row>
    <row r="16" spans="1:10">
      <c r="B16" t="s">
        <v>297</v>
      </c>
      <c r="D16">
        <v>100</v>
      </c>
      <c r="E16" t="s">
        <v>22</v>
      </c>
      <c r="H16" s="13"/>
      <c r="I16" s="13"/>
      <c r="J16" s="13"/>
    </row>
    <row r="17" spans="1:10">
      <c r="B17" t="s">
        <v>309</v>
      </c>
      <c r="D17">
        <f>33*24</f>
        <v>792</v>
      </c>
      <c r="E17" t="s">
        <v>49</v>
      </c>
      <c r="H17" s="13"/>
      <c r="I17" s="13"/>
      <c r="J17" s="13"/>
    </row>
    <row r="18" spans="1:10">
      <c r="B18" t="s">
        <v>308</v>
      </c>
      <c r="D18">
        <v>120</v>
      </c>
      <c r="E18" t="s">
        <v>21</v>
      </c>
      <c r="H18" s="13"/>
      <c r="I18" s="13"/>
      <c r="J18" s="13"/>
    </row>
    <row r="21" spans="1:10">
      <c r="A21" s="2" t="s">
        <v>26</v>
      </c>
    </row>
    <row r="22" spans="1:10" ht="15.75" thickBot="1">
      <c r="B22" s="1" t="s">
        <v>1</v>
      </c>
      <c r="C22" s="1" t="s">
        <v>2</v>
      </c>
      <c r="D22" s="1" t="s">
        <v>3</v>
      </c>
      <c r="E22" s="1" t="s">
        <v>616</v>
      </c>
      <c r="F22" s="1" t="s">
        <v>4</v>
      </c>
      <c r="G22" s="1" t="s">
        <v>643</v>
      </c>
      <c r="H22" s="1" t="s">
        <v>3</v>
      </c>
    </row>
    <row r="23" spans="1:10">
      <c r="A23" t="s">
        <v>392</v>
      </c>
      <c r="B23" t="s">
        <v>305</v>
      </c>
      <c r="C23">
        <f>((($D$10*$D$11)*$D$3)+($D$10*$D$12)*$D$3)*D13</f>
        <v>18</v>
      </c>
      <c r="D23" t="s">
        <v>48</v>
      </c>
      <c r="E23" t="s">
        <v>676</v>
      </c>
      <c r="G23">
        <f>C23</f>
        <v>18</v>
      </c>
      <c r="H23" t="s">
        <v>48</v>
      </c>
    </row>
    <row r="24" spans="1:10">
      <c r="B24" t="s">
        <v>37</v>
      </c>
      <c r="C24">
        <f>((($D$10*$D$11)*$D$3)+($D$10*$D$12)*$D$3)</f>
        <v>72</v>
      </c>
      <c r="D24" t="s">
        <v>49</v>
      </c>
      <c r="E24" t="s">
        <v>623</v>
      </c>
      <c r="G24" s="15">
        <f>C24*0.25</f>
        <v>18</v>
      </c>
      <c r="H24" t="s">
        <v>48</v>
      </c>
    </row>
    <row r="25" spans="1:10">
      <c r="B25" t="s">
        <v>31</v>
      </c>
      <c r="C25">
        <f>((($D$10*$D$11)*$D$3)+($D$10*$D$12)*$D$3)*D15</f>
        <v>21.599999999999998</v>
      </c>
      <c r="D25" t="s">
        <v>48</v>
      </c>
      <c r="E25" t="s">
        <v>639</v>
      </c>
      <c r="G25" s="29">
        <f>C25</f>
        <v>21.599999999999998</v>
      </c>
      <c r="H25" t="s">
        <v>48</v>
      </c>
    </row>
    <row r="26" spans="1:10">
      <c r="B26" t="s">
        <v>306</v>
      </c>
      <c r="C26">
        <f>((D10+D11)*2)*D3/1000</f>
        <v>3.2000000000000001E-2</v>
      </c>
      <c r="D26" s="13" t="s">
        <v>10</v>
      </c>
      <c r="E26" t="s">
        <v>621</v>
      </c>
      <c r="G26" s="29">
        <f>C26*1000</f>
        <v>32</v>
      </c>
      <c r="H26" t="s">
        <v>21</v>
      </c>
    </row>
    <row r="28" spans="1:10">
      <c r="A28" t="s">
        <v>307</v>
      </c>
      <c r="B28" t="s">
        <v>305</v>
      </c>
      <c r="C28">
        <f>$D$17*D13</f>
        <v>198</v>
      </c>
      <c r="D28" t="s">
        <v>48</v>
      </c>
      <c r="E28" t="s">
        <v>676</v>
      </c>
      <c r="G28">
        <f>C28</f>
        <v>198</v>
      </c>
      <c r="H28" t="s">
        <v>48</v>
      </c>
    </row>
    <row r="29" spans="1:10">
      <c r="B29" t="s">
        <v>37</v>
      </c>
      <c r="C29">
        <f>$D$17</f>
        <v>792</v>
      </c>
      <c r="D29" t="s">
        <v>49</v>
      </c>
      <c r="E29" t="s">
        <v>623</v>
      </c>
      <c r="G29" s="15">
        <f>C29*0.25</f>
        <v>198</v>
      </c>
      <c r="H29" t="s">
        <v>48</v>
      </c>
    </row>
    <row r="30" spans="1:10">
      <c r="B30" t="s">
        <v>31</v>
      </c>
      <c r="C30">
        <f t="shared" ref="C30" si="0">$D$17*D15</f>
        <v>237.6</v>
      </c>
      <c r="D30" t="s">
        <v>48</v>
      </c>
      <c r="E30" t="s">
        <v>639</v>
      </c>
      <c r="G30" s="29">
        <f>C30</f>
        <v>237.6</v>
      </c>
      <c r="H30" t="s">
        <v>48</v>
      </c>
    </row>
    <row r="31" spans="1:10">
      <c r="B31" t="s">
        <v>306</v>
      </c>
      <c r="C31">
        <f>D18/1000</f>
        <v>0.12</v>
      </c>
      <c r="D31" t="s">
        <v>10</v>
      </c>
      <c r="E31" t="s">
        <v>621</v>
      </c>
      <c r="G31" s="29">
        <f>C31*1000</f>
        <v>120</v>
      </c>
      <c r="H31" t="s">
        <v>21</v>
      </c>
    </row>
    <row r="32" spans="1:10">
      <c r="A32" s="17"/>
    </row>
    <row r="35" spans="1:1">
      <c r="A35" s="89"/>
    </row>
    <row r="36" spans="1:1">
      <c r="A36" s="87"/>
    </row>
  </sheetData>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7"/>
  </sheetPr>
  <dimension ref="A1:I46"/>
  <sheetViews>
    <sheetView zoomScale="70" zoomScaleNormal="70" workbookViewId="0">
      <selection activeCell="E44" sqref="E44"/>
    </sheetView>
  </sheetViews>
  <sheetFormatPr defaultRowHeight="15"/>
  <cols>
    <col min="1" max="1" width="20.28515625" bestFit="1" customWidth="1"/>
    <col min="2" max="2" width="52.85546875" bestFit="1" customWidth="1"/>
    <col min="3" max="3" width="9.140625" bestFit="1" customWidth="1"/>
    <col min="4" max="4" width="11" bestFit="1" customWidth="1"/>
    <col min="5" max="5" width="87.28515625" bestFit="1" customWidth="1"/>
    <col min="6" max="6" width="51.5703125" bestFit="1" customWidth="1"/>
    <col min="7" max="7" width="15.85546875" bestFit="1" customWidth="1"/>
    <col min="8" max="8" width="11" bestFit="1" customWidth="1"/>
    <col min="9" max="9" width="15.28515625" customWidth="1"/>
    <col min="10" max="10" width="74.5703125" customWidth="1"/>
  </cols>
  <sheetData>
    <row r="1" spans="1:6">
      <c r="A1" s="2" t="s">
        <v>0</v>
      </c>
    </row>
    <row r="2" spans="1:6" ht="15.75" thickBot="1">
      <c r="B2" s="1" t="s">
        <v>1</v>
      </c>
      <c r="C2" s="1"/>
      <c r="D2" s="1" t="s">
        <v>2</v>
      </c>
      <c r="E2" s="1" t="s">
        <v>3</v>
      </c>
      <c r="F2" s="1" t="s">
        <v>4</v>
      </c>
    </row>
    <row r="3" spans="1:6">
      <c r="B3" t="s">
        <v>226</v>
      </c>
      <c r="D3">
        <v>1</v>
      </c>
      <c r="E3" t="s">
        <v>10</v>
      </c>
    </row>
    <row r="5" spans="1:6">
      <c r="A5" s="2" t="s">
        <v>11</v>
      </c>
    </row>
    <row r="6" spans="1:6" ht="15.75" thickBot="1">
      <c r="B6" s="1" t="s">
        <v>1</v>
      </c>
      <c r="C6" s="1"/>
      <c r="D6" s="1" t="s">
        <v>2</v>
      </c>
      <c r="E6" s="1" t="s">
        <v>3</v>
      </c>
      <c r="F6" s="1" t="s">
        <v>4</v>
      </c>
    </row>
    <row r="7" spans="1:6">
      <c r="A7" t="s">
        <v>250</v>
      </c>
      <c r="B7" t="s">
        <v>231</v>
      </c>
      <c r="D7">
        <v>2</v>
      </c>
      <c r="E7" t="s">
        <v>21</v>
      </c>
    </row>
    <row r="8" spans="1:6">
      <c r="B8" t="s">
        <v>228</v>
      </c>
      <c r="D8">
        <f>1/2</f>
        <v>0.5</v>
      </c>
      <c r="F8" t="s">
        <v>242</v>
      </c>
    </row>
    <row r="9" spans="1:6">
      <c r="B9" t="s">
        <v>229</v>
      </c>
      <c r="D9">
        <v>3.6</v>
      </c>
      <c r="E9" t="s">
        <v>21</v>
      </c>
    </row>
    <row r="10" spans="1:6">
      <c r="B10" t="s">
        <v>343</v>
      </c>
      <c r="D10">
        <f>D9*2+0.2</f>
        <v>7.4</v>
      </c>
      <c r="E10" t="s">
        <v>21</v>
      </c>
    </row>
    <row r="11" spans="1:6">
      <c r="B11" t="s">
        <v>262</v>
      </c>
      <c r="D11">
        <v>2700</v>
      </c>
      <c r="E11" t="s">
        <v>263</v>
      </c>
    </row>
    <row r="13" spans="1:6">
      <c r="A13" t="s">
        <v>239</v>
      </c>
      <c r="B13" t="s">
        <v>236</v>
      </c>
      <c r="D13">
        <v>3.96</v>
      </c>
      <c r="E13" t="s">
        <v>49</v>
      </c>
    </row>
    <row r="14" spans="1:6">
      <c r="B14" t="s">
        <v>238</v>
      </c>
      <c r="D14">
        <v>2.69</v>
      </c>
      <c r="E14" t="s">
        <v>159</v>
      </c>
    </row>
    <row r="15" spans="1:6">
      <c r="B15" t="s">
        <v>234</v>
      </c>
      <c r="D15">
        <v>1.67</v>
      </c>
      <c r="E15" t="s">
        <v>5</v>
      </c>
    </row>
    <row r="16" spans="1:6">
      <c r="B16" t="s">
        <v>237</v>
      </c>
      <c r="D16">
        <v>2</v>
      </c>
      <c r="E16" t="s">
        <v>21</v>
      </c>
    </row>
    <row r="18" spans="1:8">
      <c r="A18" t="s">
        <v>265</v>
      </c>
      <c r="B18" t="s">
        <v>230</v>
      </c>
      <c r="D18">
        <v>1</v>
      </c>
      <c r="E18" t="s">
        <v>21</v>
      </c>
    </row>
    <row r="19" spans="1:8">
      <c r="B19" t="s">
        <v>264</v>
      </c>
      <c r="D19">
        <v>0.1</v>
      </c>
      <c r="E19" t="s">
        <v>21</v>
      </c>
    </row>
    <row r="20" spans="1:8">
      <c r="B20" t="s">
        <v>262</v>
      </c>
      <c r="D20">
        <v>2700</v>
      </c>
      <c r="E20" t="s">
        <v>263</v>
      </c>
    </row>
    <row r="24" spans="1:8">
      <c r="A24" s="2" t="s">
        <v>136</v>
      </c>
    </row>
    <row r="25" spans="1:8" ht="15.75" thickBot="1">
      <c r="B25" s="1" t="s">
        <v>1</v>
      </c>
      <c r="C25" s="1"/>
      <c r="D25" s="1" t="s">
        <v>2</v>
      </c>
      <c r="E25" s="1" t="s">
        <v>3</v>
      </c>
      <c r="F25" s="1" t="s">
        <v>4</v>
      </c>
    </row>
    <row r="26" spans="1:8">
      <c r="B26" t="s">
        <v>241</v>
      </c>
      <c r="D26">
        <f>D10+2*D18+1</f>
        <v>10.4</v>
      </c>
      <c r="E26" t="s">
        <v>21</v>
      </c>
    </row>
    <row r="27" spans="1:8">
      <c r="B27" t="s">
        <v>245</v>
      </c>
      <c r="D27">
        <f>(D7*D26)+2*(0.5*D7/D8*D7)</f>
        <v>28.8</v>
      </c>
      <c r="E27" t="s">
        <v>48</v>
      </c>
      <c r="F27" t="s">
        <v>243</v>
      </c>
    </row>
    <row r="29" spans="1:8">
      <c r="A29" s="2" t="s">
        <v>26</v>
      </c>
    </row>
    <row r="30" spans="1:8" ht="15.75" thickBot="1">
      <c r="B30" s="1" t="s">
        <v>1</v>
      </c>
      <c r="C30" s="1" t="s">
        <v>2</v>
      </c>
      <c r="D30" s="1" t="s">
        <v>3</v>
      </c>
      <c r="E30" s="1" t="s">
        <v>616</v>
      </c>
      <c r="F30" s="1" t="s">
        <v>4</v>
      </c>
      <c r="G30" s="1" t="s">
        <v>643</v>
      </c>
      <c r="H30" s="1" t="s">
        <v>3</v>
      </c>
    </row>
    <row r="31" spans="1:8">
      <c r="A31" t="s">
        <v>37</v>
      </c>
      <c r="B31" t="s">
        <v>244</v>
      </c>
      <c r="C31">
        <f>D27*D3*1000</f>
        <v>28800</v>
      </c>
      <c r="D31" t="s">
        <v>48</v>
      </c>
      <c r="E31" s="41" t="s">
        <v>639</v>
      </c>
      <c r="F31" s="48"/>
      <c r="G31" s="29">
        <f>C31</f>
        <v>28800</v>
      </c>
      <c r="H31" t="s">
        <v>48</v>
      </c>
    </row>
    <row r="32" spans="1:8">
      <c r="E32" s="53"/>
      <c r="F32" s="48"/>
      <c r="G32" s="29"/>
    </row>
    <row r="33" spans="1:9">
      <c r="A33" t="s">
        <v>239</v>
      </c>
      <c r="B33" t="s">
        <v>236</v>
      </c>
      <c r="C33">
        <f>D13*D3*1000</f>
        <v>3960</v>
      </c>
      <c r="D33" s="13" t="s">
        <v>49</v>
      </c>
      <c r="E33" s="53" t="s">
        <v>236</v>
      </c>
      <c r="F33" s="48"/>
      <c r="G33" s="29">
        <f>C33</f>
        <v>3960</v>
      </c>
      <c r="H33" t="s">
        <v>49</v>
      </c>
    </row>
    <row r="34" spans="1:9">
      <c r="B34" t="s">
        <v>238</v>
      </c>
      <c r="C34">
        <f>D14*D3*1000</f>
        <v>2690</v>
      </c>
      <c r="D34" t="s">
        <v>159</v>
      </c>
      <c r="E34" s="53" t="s">
        <v>625</v>
      </c>
      <c r="F34" s="48"/>
      <c r="G34" s="29">
        <f>C34*1000</f>
        <v>2690000</v>
      </c>
      <c r="H34" t="s">
        <v>644</v>
      </c>
    </row>
    <row r="35" spans="1:9">
      <c r="B35" t="s">
        <v>233</v>
      </c>
      <c r="C35">
        <f>INT(D15*D3*1000)</f>
        <v>1670</v>
      </c>
      <c r="D35" t="s">
        <v>5</v>
      </c>
      <c r="E35" s="53" t="s">
        <v>641</v>
      </c>
      <c r="F35" s="48"/>
      <c r="G35" s="29">
        <f t="shared" ref="G35:G36" si="0">C35</f>
        <v>1670</v>
      </c>
      <c r="H35" t="s">
        <v>487</v>
      </c>
    </row>
    <row r="36" spans="1:9">
      <c r="B36" t="s">
        <v>237</v>
      </c>
      <c r="C36">
        <f>(D16*D3*1000)</f>
        <v>2000</v>
      </c>
      <c r="D36" t="s">
        <v>21</v>
      </c>
      <c r="E36" s="53" t="s">
        <v>642</v>
      </c>
      <c r="F36" s="48"/>
      <c r="G36" s="29">
        <f t="shared" si="0"/>
        <v>2000</v>
      </c>
      <c r="H36" t="s">
        <v>21</v>
      </c>
    </row>
    <row r="37" spans="1:9">
      <c r="B37" s="13" t="s">
        <v>380</v>
      </c>
      <c r="C37" s="13">
        <f>(D3*1000)</f>
        <v>1000</v>
      </c>
      <c r="D37" s="13" t="s">
        <v>21</v>
      </c>
      <c r="E37" s="53" t="s">
        <v>642</v>
      </c>
      <c r="F37" s="53" t="s">
        <v>665</v>
      </c>
      <c r="G37" s="54">
        <f>C37</f>
        <v>1000</v>
      </c>
      <c r="H37" s="13" t="s">
        <v>21</v>
      </c>
    </row>
    <row r="38" spans="1:9">
      <c r="E38" s="53"/>
      <c r="F38" s="53"/>
      <c r="G38" s="29"/>
    </row>
    <row r="39" spans="1:9">
      <c r="A39" t="s">
        <v>249</v>
      </c>
      <c r="B39" t="s">
        <v>261</v>
      </c>
      <c r="C39">
        <f>2*(D18*D19*D3*1000*D20/1000)</f>
        <v>540</v>
      </c>
      <c r="D39" t="s">
        <v>159</v>
      </c>
      <c r="E39" s="53" t="s">
        <v>625</v>
      </c>
      <c r="F39" s="48"/>
      <c r="G39" s="29">
        <f>C39*1000</f>
        <v>540000</v>
      </c>
      <c r="H39" t="s">
        <v>644</v>
      </c>
    </row>
    <row r="40" spans="1:9">
      <c r="A40" s="17"/>
      <c r="F40" s="53"/>
      <c r="G40" s="53"/>
      <c r="H40" s="29"/>
    </row>
    <row r="41" spans="1:9">
      <c r="A41" s="17"/>
      <c r="G41" s="48"/>
      <c r="H41" s="48"/>
      <c r="I41" s="29"/>
    </row>
    <row r="42" spans="1:9">
      <c r="G42" s="48"/>
      <c r="H42" s="48"/>
      <c r="I42" s="29"/>
    </row>
    <row r="43" spans="1:9">
      <c r="G43" s="53"/>
      <c r="H43" s="53"/>
      <c r="I43" s="29"/>
    </row>
    <row r="44" spans="1:9">
      <c r="G44" s="48"/>
      <c r="H44" s="48"/>
      <c r="I44" s="29"/>
    </row>
    <row r="45" spans="1:9">
      <c r="G45" s="53"/>
      <c r="H45" s="53"/>
      <c r="I45" s="29"/>
    </row>
    <row r="46" spans="1:9">
      <c r="G46" s="48"/>
      <c r="H46" s="48"/>
      <c r="I46" s="29"/>
    </row>
  </sheetData>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7"/>
  </sheetPr>
  <dimension ref="A1:H59"/>
  <sheetViews>
    <sheetView zoomScale="70" zoomScaleNormal="70" workbookViewId="0"/>
  </sheetViews>
  <sheetFormatPr defaultRowHeight="15"/>
  <cols>
    <col min="1" max="1" width="20.28515625" bestFit="1" customWidth="1"/>
    <col min="2" max="2" width="52.85546875" bestFit="1" customWidth="1"/>
    <col min="3" max="3" width="14.85546875" bestFit="1" customWidth="1"/>
    <col min="4" max="4" width="11" bestFit="1" customWidth="1"/>
    <col min="5" max="5" width="99.5703125" bestFit="1" customWidth="1"/>
    <col min="6" max="6" width="91.5703125" customWidth="1"/>
    <col min="7" max="7" width="15.85546875" bestFit="1" customWidth="1"/>
    <col min="8" max="9" width="11" bestFit="1" customWidth="1"/>
    <col min="10" max="10" width="8.28515625" bestFit="1" customWidth="1"/>
  </cols>
  <sheetData>
    <row r="1" spans="1:6">
      <c r="A1" s="2" t="s">
        <v>0</v>
      </c>
    </row>
    <row r="2" spans="1:6" ht="15.75" thickBot="1">
      <c r="B2" s="1" t="s">
        <v>1</v>
      </c>
      <c r="C2" s="1"/>
      <c r="D2" s="1" t="s">
        <v>2</v>
      </c>
      <c r="E2" s="1" t="s">
        <v>3</v>
      </c>
      <c r="F2" s="1" t="s">
        <v>4</v>
      </c>
    </row>
    <row r="3" spans="1:6">
      <c r="B3" t="s">
        <v>227</v>
      </c>
      <c r="D3">
        <v>0</v>
      </c>
      <c r="E3" t="s">
        <v>5</v>
      </c>
    </row>
    <row r="4" spans="1:6">
      <c r="B4" t="s">
        <v>226</v>
      </c>
      <c r="D4">
        <v>1</v>
      </c>
      <c r="E4" t="s">
        <v>10</v>
      </c>
    </row>
    <row r="5" spans="1:6">
      <c r="B5" t="s">
        <v>247</v>
      </c>
      <c r="D5">
        <v>2</v>
      </c>
      <c r="E5" t="s">
        <v>5</v>
      </c>
      <c r="F5" t="s">
        <v>248</v>
      </c>
    </row>
    <row r="7" spans="1:6">
      <c r="A7" s="2" t="s">
        <v>11</v>
      </c>
    </row>
    <row r="8" spans="1:6" ht="15.75" thickBot="1">
      <c r="B8" s="1" t="s">
        <v>1</v>
      </c>
      <c r="C8" s="1"/>
      <c r="D8" s="1" t="s">
        <v>2</v>
      </c>
      <c r="E8" s="1" t="s">
        <v>3</v>
      </c>
      <c r="F8" s="1" t="s">
        <v>4</v>
      </c>
    </row>
    <row r="9" spans="1:6">
      <c r="A9" t="s">
        <v>250</v>
      </c>
      <c r="B9" t="s">
        <v>231</v>
      </c>
      <c r="D9">
        <v>2</v>
      </c>
      <c r="E9" t="s">
        <v>21</v>
      </c>
    </row>
    <row r="10" spans="1:6">
      <c r="B10" t="s">
        <v>228</v>
      </c>
      <c r="D10">
        <f>1/2</f>
        <v>0.5</v>
      </c>
      <c r="F10" t="s">
        <v>242</v>
      </c>
    </row>
    <row r="11" spans="1:6">
      <c r="B11" t="s">
        <v>229</v>
      </c>
      <c r="D11">
        <v>5</v>
      </c>
      <c r="E11" t="s">
        <v>21</v>
      </c>
    </row>
    <row r="12" spans="1:6">
      <c r="B12" t="s">
        <v>266</v>
      </c>
      <c r="D12">
        <v>2.85</v>
      </c>
      <c r="E12" t="s">
        <v>21</v>
      </c>
    </row>
    <row r="13" spans="1:6">
      <c r="B13" t="s">
        <v>232</v>
      </c>
      <c r="D13">
        <v>1</v>
      </c>
      <c r="E13" t="s">
        <v>21</v>
      </c>
    </row>
    <row r="15" spans="1:6">
      <c r="A15" t="s">
        <v>239</v>
      </c>
      <c r="B15" t="s">
        <v>236</v>
      </c>
      <c r="D15">
        <v>5.5</v>
      </c>
      <c r="E15" t="s">
        <v>49</v>
      </c>
      <c r="F15" t="s">
        <v>235</v>
      </c>
    </row>
    <row r="16" spans="1:6">
      <c r="B16" t="s">
        <v>238</v>
      </c>
      <c r="D16">
        <v>3.74</v>
      </c>
      <c r="E16" t="s">
        <v>159</v>
      </c>
      <c r="F16" t="s">
        <v>235</v>
      </c>
    </row>
    <row r="17" spans="1:6">
      <c r="B17" t="s">
        <v>234</v>
      </c>
      <c r="D17">
        <v>1.67</v>
      </c>
      <c r="E17" t="s">
        <v>5</v>
      </c>
      <c r="F17" t="s">
        <v>235</v>
      </c>
    </row>
    <row r="18" spans="1:6">
      <c r="B18" t="s">
        <v>237</v>
      </c>
      <c r="D18">
        <v>2</v>
      </c>
      <c r="E18" t="s">
        <v>21</v>
      </c>
      <c r="F18" t="s">
        <v>235</v>
      </c>
    </row>
    <row r="20" spans="1:6">
      <c r="A20" t="s">
        <v>240</v>
      </c>
      <c r="B20" t="s">
        <v>257</v>
      </c>
      <c r="D20">
        <v>6</v>
      </c>
      <c r="E20" t="s">
        <v>5</v>
      </c>
      <c r="F20" t="s">
        <v>253</v>
      </c>
    </row>
    <row r="21" spans="1:6">
      <c r="B21" t="s">
        <v>258</v>
      </c>
      <c r="D21">
        <v>3.7</v>
      </c>
      <c r="E21" t="s">
        <v>21</v>
      </c>
    </row>
    <row r="22" spans="1:6">
      <c r="B22" t="s">
        <v>254</v>
      </c>
      <c r="D22">
        <v>6</v>
      </c>
      <c r="E22" t="s">
        <v>5</v>
      </c>
      <c r="F22" t="s">
        <v>253</v>
      </c>
    </row>
    <row r="23" spans="1:6">
      <c r="B23" t="s">
        <v>259</v>
      </c>
      <c r="D23">
        <v>2.85</v>
      </c>
      <c r="E23" t="s">
        <v>21</v>
      </c>
    </row>
    <row r="24" spans="1:6">
      <c r="B24" t="s">
        <v>255</v>
      </c>
      <c r="D24">
        <v>0.5</v>
      </c>
      <c r="E24" t="s">
        <v>5</v>
      </c>
      <c r="F24" t="s">
        <v>253</v>
      </c>
    </row>
    <row r="25" spans="1:6">
      <c r="B25" t="s">
        <v>260</v>
      </c>
      <c r="D25">
        <v>5.7</v>
      </c>
      <c r="E25" t="s">
        <v>21</v>
      </c>
    </row>
    <row r="26" spans="1:6">
      <c r="B26" t="s">
        <v>256</v>
      </c>
      <c r="D26">
        <v>0.6</v>
      </c>
      <c r="E26" t="s">
        <v>5</v>
      </c>
      <c r="F26" t="s">
        <v>253</v>
      </c>
    </row>
    <row r="27" spans="1:6">
      <c r="B27" t="s">
        <v>267</v>
      </c>
      <c r="D27">
        <v>12.15</v>
      </c>
      <c r="E27" t="s">
        <v>21</v>
      </c>
    </row>
    <row r="29" spans="1:6">
      <c r="A29" t="s">
        <v>265</v>
      </c>
      <c r="B29" t="s">
        <v>230</v>
      </c>
      <c r="D29">
        <v>2</v>
      </c>
      <c r="E29" t="s">
        <v>21</v>
      </c>
    </row>
    <row r="30" spans="1:6">
      <c r="B30" t="s">
        <v>264</v>
      </c>
      <c r="D30">
        <v>0.1</v>
      </c>
      <c r="E30" t="s">
        <v>21</v>
      </c>
    </row>
    <row r="31" spans="1:6">
      <c r="B31" t="s">
        <v>262</v>
      </c>
      <c r="D31">
        <v>2700</v>
      </c>
      <c r="E31" t="s">
        <v>263</v>
      </c>
    </row>
    <row r="34" spans="1:8">
      <c r="A34" s="2" t="s">
        <v>136</v>
      </c>
    </row>
    <row r="35" spans="1:8" ht="15.75" thickBot="1">
      <c r="B35" s="1" t="s">
        <v>1</v>
      </c>
      <c r="C35" s="1"/>
      <c r="D35" s="1" t="s">
        <v>2</v>
      </c>
      <c r="E35" s="1" t="s">
        <v>3</v>
      </c>
      <c r="F35" s="1" t="s">
        <v>4</v>
      </c>
    </row>
    <row r="36" spans="1:8">
      <c r="B36" t="s">
        <v>241</v>
      </c>
      <c r="D36">
        <f>D11+D13+D29</f>
        <v>8</v>
      </c>
      <c r="E36" t="s">
        <v>21</v>
      </c>
    </row>
    <row r="37" spans="1:8">
      <c r="B37" t="s">
        <v>245</v>
      </c>
      <c r="D37">
        <f>(D9*D36)+2*(0.5*D9/D10*D9)</f>
        <v>24</v>
      </c>
      <c r="E37" t="s">
        <v>48</v>
      </c>
      <c r="F37" t="s">
        <v>243</v>
      </c>
    </row>
    <row r="39" spans="1:8">
      <c r="A39" s="2" t="s">
        <v>26</v>
      </c>
    </row>
    <row r="40" spans="1:8" ht="15.75" thickBot="1">
      <c r="B40" s="1" t="s">
        <v>1</v>
      </c>
      <c r="C40" s="1" t="s">
        <v>2</v>
      </c>
      <c r="D40" s="1" t="s">
        <v>3</v>
      </c>
      <c r="E40" s="1" t="s">
        <v>616</v>
      </c>
      <c r="F40" s="1" t="s">
        <v>4</v>
      </c>
      <c r="G40" s="1" t="s">
        <v>643</v>
      </c>
      <c r="H40" s="1" t="s">
        <v>3</v>
      </c>
    </row>
    <row r="41" spans="1:8">
      <c r="A41" t="s">
        <v>37</v>
      </c>
      <c r="B41" t="s">
        <v>244</v>
      </c>
      <c r="C41">
        <f>D37*D4*1000</f>
        <v>24000</v>
      </c>
      <c r="D41" t="s">
        <v>48</v>
      </c>
      <c r="E41" s="41" t="s">
        <v>639</v>
      </c>
      <c r="F41" s="48"/>
      <c r="G41" s="29">
        <f>C41</f>
        <v>24000</v>
      </c>
      <c r="H41" t="s">
        <v>48</v>
      </c>
    </row>
    <row r="42" spans="1:8">
      <c r="E42" s="48"/>
      <c r="F42" s="48"/>
      <c r="G42" s="29"/>
    </row>
    <row r="43" spans="1:8">
      <c r="A43" t="s">
        <v>239</v>
      </c>
      <c r="B43" t="s">
        <v>236</v>
      </c>
      <c r="C43" s="13">
        <f>D15*D4*1000</f>
        <v>5500</v>
      </c>
      <c r="D43" s="13" t="s">
        <v>49</v>
      </c>
      <c r="E43" s="53" t="s">
        <v>236</v>
      </c>
      <c r="F43" s="48"/>
      <c r="G43" s="29">
        <f>C43</f>
        <v>5500</v>
      </c>
      <c r="H43" t="s">
        <v>49</v>
      </c>
    </row>
    <row r="44" spans="1:8">
      <c r="B44" t="s">
        <v>238</v>
      </c>
      <c r="C44" s="13">
        <f>D16*D4*1000</f>
        <v>3740</v>
      </c>
      <c r="D44" s="13" t="s">
        <v>159</v>
      </c>
      <c r="E44" s="53" t="s">
        <v>625</v>
      </c>
      <c r="F44" s="48"/>
      <c r="G44" s="29">
        <f>C44*1000</f>
        <v>3740000</v>
      </c>
      <c r="H44" t="s">
        <v>644</v>
      </c>
    </row>
    <row r="45" spans="1:8">
      <c r="B45" t="s">
        <v>233</v>
      </c>
      <c r="C45" s="13">
        <f>INT(D17*D4*1000)</f>
        <v>1670</v>
      </c>
      <c r="D45" s="13" t="s">
        <v>5</v>
      </c>
      <c r="E45" s="53" t="s">
        <v>641</v>
      </c>
      <c r="F45" s="48"/>
      <c r="G45" s="29">
        <f t="shared" ref="G45:G52" si="0">C45</f>
        <v>1670</v>
      </c>
      <c r="H45" t="s">
        <v>487</v>
      </c>
    </row>
    <row r="46" spans="1:8">
      <c r="B46" t="s">
        <v>237</v>
      </c>
      <c r="C46" s="13">
        <f>(D18*D4*1000)</f>
        <v>2000</v>
      </c>
      <c r="D46" s="13" t="s">
        <v>21</v>
      </c>
      <c r="E46" s="53" t="s">
        <v>642</v>
      </c>
      <c r="F46" s="48"/>
      <c r="G46" s="29">
        <f t="shared" si="0"/>
        <v>2000</v>
      </c>
      <c r="H46" t="s">
        <v>21</v>
      </c>
    </row>
    <row r="47" spans="1:8">
      <c r="C47" s="13"/>
      <c r="D47" s="13"/>
      <c r="E47" s="53"/>
      <c r="F47" s="48"/>
      <c r="G47" s="29"/>
    </row>
    <row r="48" spans="1:8">
      <c r="A48" t="s">
        <v>240</v>
      </c>
      <c r="B48" t="s">
        <v>252</v>
      </c>
      <c r="C48" s="13">
        <f>D20/240*$D$4*1000</f>
        <v>25</v>
      </c>
      <c r="D48" s="13" t="s">
        <v>393</v>
      </c>
      <c r="E48" s="53" t="s">
        <v>627</v>
      </c>
      <c r="F48" s="53" t="s">
        <v>626</v>
      </c>
      <c r="G48" s="29">
        <f>C48*D21</f>
        <v>92.5</v>
      </c>
      <c r="H48" t="s">
        <v>21</v>
      </c>
    </row>
    <row r="49" spans="1:8">
      <c r="C49" s="13">
        <f>INT(D20/240*D4*1000)</f>
        <v>25</v>
      </c>
      <c r="D49" s="13" t="s">
        <v>5</v>
      </c>
      <c r="E49" s="53" t="s">
        <v>629</v>
      </c>
      <c r="F49" s="53" t="s">
        <v>628</v>
      </c>
      <c r="G49" s="29">
        <f t="shared" si="0"/>
        <v>25</v>
      </c>
      <c r="H49" t="s">
        <v>487</v>
      </c>
    </row>
    <row r="50" spans="1:8">
      <c r="B50" t="s">
        <v>254</v>
      </c>
      <c r="C50" s="13">
        <f>D22/240*$D$4*1000</f>
        <v>25</v>
      </c>
      <c r="D50" s="13" t="s">
        <v>393</v>
      </c>
      <c r="E50" s="53" t="s">
        <v>630</v>
      </c>
      <c r="F50" s="53" t="s">
        <v>626</v>
      </c>
      <c r="G50" s="29">
        <f>C50*D23</f>
        <v>71.25</v>
      </c>
      <c r="H50" t="s">
        <v>21</v>
      </c>
    </row>
    <row r="51" spans="1:8">
      <c r="B51" t="s">
        <v>255</v>
      </c>
      <c r="C51" s="9">
        <f>D24/240*$D$4*1000*D25</f>
        <v>11.875000000000002</v>
      </c>
      <c r="D51" t="s">
        <v>21</v>
      </c>
      <c r="E51" s="48" t="s">
        <v>631</v>
      </c>
      <c r="F51" s="48"/>
      <c r="G51" s="29">
        <f t="shared" si="0"/>
        <v>11.875000000000002</v>
      </c>
      <c r="H51" t="s">
        <v>21</v>
      </c>
    </row>
    <row r="52" spans="1:8">
      <c r="B52" t="s">
        <v>256</v>
      </c>
      <c r="C52">
        <f>INT(D26/240*D4*1000)</f>
        <v>2</v>
      </c>
      <c r="D52" t="s">
        <v>5</v>
      </c>
      <c r="E52" s="48" t="s">
        <v>632</v>
      </c>
      <c r="F52" s="48"/>
      <c r="G52" s="29">
        <f t="shared" si="0"/>
        <v>2</v>
      </c>
      <c r="H52" t="s">
        <v>487</v>
      </c>
    </row>
    <row r="53" spans="1:8">
      <c r="C53">
        <f>D26/D24/240*D4*1000*D27</f>
        <v>60.75</v>
      </c>
      <c r="D53" t="s">
        <v>21</v>
      </c>
      <c r="E53" s="53" t="s">
        <v>619</v>
      </c>
      <c r="F53" s="53" t="s">
        <v>647</v>
      </c>
      <c r="G53" s="29">
        <f>C53*4.3</f>
        <v>261.22499999999997</v>
      </c>
      <c r="H53" t="s">
        <v>644</v>
      </c>
    </row>
    <row r="54" spans="1:8">
      <c r="E54" s="48"/>
      <c r="F54" s="48"/>
      <c r="G54" s="29"/>
    </row>
    <row r="55" spans="1:8">
      <c r="A55" t="s">
        <v>246</v>
      </c>
      <c r="B55" t="s">
        <v>251</v>
      </c>
      <c r="C55" s="13">
        <f>D5*D4*1000/12</f>
        <v>166.66666666666666</v>
      </c>
      <c r="D55" s="13" t="s">
        <v>393</v>
      </c>
      <c r="E55" s="53" t="s">
        <v>633</v>
      </c>
      <c r="F55" s="53" t="s">
        <v>648</v>
      </c>
      <c r="G55" s="29">
        <f>C55*12*3</f>
        <v>6000</v>
      </c>
      <c r="H55" t="s">
        <v>49</v>
      </c>
    </row>
    <row r="56" spans="1:8">
      <c r="E56" s="48"/>
      <c r="F56" s="48"/>
      <c r="G56" s="29"/>
    </row>
    <row r="57" spans="1:8">
      <c r="A57" t="s">
        <v>249</v>
      </c>
      <c r="B57" t="s">
        <v>261</v>
      </c>
      <c r="C57">
        <f>D29*D30*D4*1000*D31/1000</f>
        <v>540</v>
      </c>
      <c r="D57" t="s">
        <v>159</v>
      </c>
      <c r="E57" s="48" t="s">
        <v>625</v>
      </c>
      <c r="F57" s="48"/>
      <c r="G57" s="29">
        <f>C57*1000</f>
        <v>540000</v>
      </c>
      <c r="H57" t="s">
        <v>644</v>
      </c>
    </row>
    <row r="58" spans="1:8">
      <c r="A58" s="17"/>
    </row>
    <row r="59" spans="1:8">
      <c r="A59" s="17"/>
    </row>
  </sheetData>
  <pageMargins left="0.7" right="0.7" top="0.75" bottom="0.75" header="0.3" footer="0.3"/>
  <pageSetup paperSize="9" orientation="portrait" horizontalDpi="300" verticalDpi="300"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tabColor theme="7"/>
  </sheetPr>
  <dimension ref="A1:H59"/>
  <sheetViews>
    <sheetView zoomScale="70" zoomScaleNormal="70" workbookViewId="0"/>
  </sheetViews>
  <sheetFormatPr defaultRowHeight="15"/>
  <cols>
    <col min="1" max="1" width="20.28515625" bestFit="1" customWidth="1"/>
    <col min="2" max="2" width="52.85546875" bestFit="1" customWidth="1"/>
    <col min="3" max="3" width="14.85546875" bestFit="1" customWidth="1"/>
    <col min="4" max="4" width="11" bestFit="1" customWidth="1"/>
    <col min="5" max="5" width="99.5703125" bestFit="1" customWidth="1"/>
    <col min="6" max="6" width="92" customWidth="1"/>
    <col min="7" max="7" width="15.85546875" bestFit="1" customWidth="1"/>
    <col min="8" max="9" width="11" bestFit="1" customWidth="1"/>
    <col min="10" max="10" width="8" bestFit="1" customWidth="1"/>
  </cols>
  <sheetData>
    <row r="1" spans="1:6">
      <c r="A1" s="2" t="s">
        <v>0</v>
      </c>
    </row>
    <row r="2" spans="1:6" ht="15.75" thickBot="1">
      <c r="B2" s="1" t="s">
        <v>1</v>
      </c>
      <c r="C2" s="1"/>
      <c r="D2" s="1" t="s">
        <v>2</v>
      </c>
      <c r="E2" s="1" t="s">
        <v>3</v>
      </c>
      <c r="F2" s="1" t="s">
        <v>4</v>
      </c>
    </row>
    <row r="3" spans="1:6">
      <c r="B3" t="s">
        <v>227</v>
      </c>
      <c r="D3">
        <v>0</v>
      </c>
      <c r="E3" t="s">
        <v>5</v>
      </c>
    </row>
    <row r="4" spans="1:6">
      <c r="B4" t="s">
        <v>226</v>
      </c>
      <c r="D4">
        <v>1</v>
      </c>
      <c r="E4" t="s">
        <v>10</v>
      </c>
    </row>
    <row r="5" spans="1:6">
      <c r="B5" t="s">
        <v>247</v>
      </c>
      <c r="D5">
        <v>2</v>
      </c>
      <c r="E5" t="s">
        <v>5</v>
      </c>
      <c r="F5" t="s">
        <v>248</v>
      </c>
    </row>
    <row r="7" spans="1:6">
      <c r="A7" s="2" t="s">
        <v>11</v>
      </c>
    </row>
    <row r="8" spans="1:6" ht="15.75" thickBot="1">
      <c r="B8" s="1" t="s">
        <v>1</v>
      </c>
      <c r="C8" s="1"/>
      <c r="D8" s="1" t="s">
        <v>2</v>
      </c>
      <c r="E8" s="1" t="s">
        <v>3</v>
      </c>
      <c r="F8" s="1" t="s">
        <v>4</v>
      </c>
    </row>
    <row r="9" spans="1:6">
      <c r="A9" t="s">
        <v>250</v>
      </c>
      <c r="B9" t="s">
        <v>231</v>
      </c>
      <c r="D9">
        <v>2</v>
      </c>
      <c r="E9" t="s">
        <v>21</v>
      </c>
    </row>
    <row r="10" spans="1:6">
      <c r="B10" t="s">
        <v>228</v>
      </c>
      <c r="D10">
        <f>1/2</f>
        <v>0.5</v>
      </c>
      <c r="F10" t="s">
        <v>242</v>
      </c>
    </row>
    <row r="11" spans="1:6">
      <c r="B11" t="s">
        <v>229</v>
      </c>
      <c r="D11">
        <v>5</v>
      </c>
      <c r="E11" t="s">
        <v>21</v>
      </c>
    </row>
    <row r="12" spans="1:6">
      <c r="B12" t="s">
        <v>343</v>
      </c>
      <c r="D12">
        <f>2*D11</f>
        <v>10</v>
      </c>
      <c r="E12" t="s">
        <v>21</v>
      </c>
    </row>
    <row r="13" spans="1:6">
      <c r="B13" t="s">
        <v>266</v>
      </c>
      <c r="D13">
        <v>2.85</v>
      </c>
      <c r="E13" t="s">
        <v>21</v>
      </c>
    </row>
    <row r="14" spans="1:6">
      <c r="B14" t="s">
        <v>232</v>
      </c>
      <c r="D14">
        <v>1</v>
      </c>
      <c r="E14" t="s">
        <v>21</v>
      </c>
    </row>
    <row r="16" spans="1:6">
      <c r="A16" t="s">
        <v>239</v>
      </c>
      <c r="B16" t="s">
        <v>236</v>
      </c>
      <c r="D16">
        <f>5.5*2</f>
        <v>11</v>
      </c>
      <c r="E16" t="s">
        <v>49</v>
      </c>
      <c r="F16" t="s">
        <v>344</v>
      </c>
    </row>
    <row r="17" spans="1:6">
      <c r="B17" t="s">
        <v>238</v>
      </c>
      <c r="D17">
        <f>3.74*2</f>
        <v>7.48</v>
      </c>
      <c r="E17" t="s">
        <v>159</v>
      </c>
      <c r="F17" t="s">
        <v>344</v>
      </c>
    </row>
    <row r="18" spans="1:6">
      <c r="B18" t="s">
        <v>234</v>
      </c>
      <c r="D18">
        <f>1.67*2</f>
        <v>3.34</v>
      </c>
      <c r="E18" t="s">
        <v>5</v>
      </c>
      <c r="F18" t="s">
        <v>344</v>
      </c>
    </row>
    <row r="19" spans="1:6">
      <c r="B19" t="s">
        <v>237</v>
      </c>
      <c r="D19">
        <f>2*2</f>
        <v>4</v>
      </c>
      <c r="E19" t="s">
        <v>21</v>
      </c>
      <c r="F19" t="s">
        <v>344</v>
      </c>
    </row>
    <row r="21" spans="1:6">
      <c r="A21" t="s">
        <v>240</v>
      </c>
      <c r="B21" t="s">
        <v>257</v>
      </c>
      <c r="D21">
        <f>6*2</f>
        <v>12</v>
      </c>
      <c r="E21" t="s">
        <v>5</v>
      </c>
      <c r="F21" t="s">
        <v>345</v>
      </c>
    </row>
    <row r="22" spans="1:6">
      <c r="B22" t="s">
        <v>258</v>
      </c>
      <c r="D22">
        <v>3.7</v>
      </c>
      <c r="E22" t="s">
        <v>21</v>
      </c>
    </row>
    <row r="23" spans="1:6">
      <c r="B23" t="s">
        <v>254</v>
      </c>
      <c r="D23">
        <f>6*2</f>
        <v>12</v>
      </c>
      <c r="E23" t="s">
        <v>5</v>
      </c>
      <c r="F23" t="s">
        <v>345</v>
      </c>
    </row>
    <row r="24" spans="1:6">
      <c r="B24" t="s">
        <v>259</v>
      </c>
      <c r="D24">
        <v>2.85</v>
      </c>
      <c r="E24" t="s">
        <v>21</v>
      </c>
    </row>
    <row r="25" spans="1:6">
      <c r="B25" t="s">
        <v>255</v>
      </c>
      <c r="D25">
        <v>0.5</v>
      </c>
      <c r="E25" t="s">
        <v>5</v>
      </c>
      <c r="F25" t="s">
        <v>345</v>
      </c>
    </row>
    <row r="26" spans="1:6">
      <c r="B26" t="s">
        <v>260</v>
      </c>
      <c r="D26">
        <f>D12+2*0.35</f>
        <v>10.7</v>
      </c>
      <c r="E26" t="s">
        <v>21</v>
      </c>
    </row>
    <row r="27" spans="1:6">
      <c r="B27" t="s">
        <v>256</v>
      </c>
      <c r="D27">
        <f>2*0.6</f>
        <v>1.2</v>
      </c>
      <c r="E27" t="s">
        <v>5</v>
      </c>
      <c r="F27" t="s">
        <v>345</v>
      </c>
    </row>
    <row r="28" spans="1:6">
      <c r="B28" t="s">
        <v>267</v>
      </c>
      <c r="D28">
        <v>12.15</v>
      </c>
      <c r="E28" t="s">
        <v>21</v>
      </c>
    </row>
    <row r="30" spans="1:6">
      <c r="A30" t="s">
        <v>265</v>
      </c>
      <c r="B30" t="s">
        <v>230</v>
      </c>
      <c r="D30">
        <v>1</v>
      </c>
      <c r="E30" t="s">
        <v>21</v>
      </c>
    </row>
    <row r="31" spans="1:6">
      <c r="B31" t="s">
        <v>264</v>
      </c>
      <c r="D31">
        <v>0.1</v>
      </c>
      <c r="E31" t="s">
        <v>21</v>
      </c>
    </row>
    <row r="32" spans="1:6">
      <c r="B32" t="s">
        <v>262</v>
      </c>
      <c r="D32">
        <v>2700</v>
      </c>
      <c r="E32" t="s">
        <v>263</v>
      </c>
    </row>
    <row r="35" spans="1:8">
      <c r="A35" s="2" t="s">
        <v>136</v>
      </c>
    </row>
    <row r="36" spans="1:8" ht="15.75" thickBot="1">
      <c r="B36" s="1" t="s">
        <v>1</v>
      </c>
      <c r="C36" s="1"/>
      <c r="D36" s="1" t="s">
        <v>2</v>
      </c>
      <c r="E36" s="1" t="s">
        <v>3</v>
      </c>
      <c r="F36" s="1" t="s">
        <v>4</v>
      </c>
    </row>
    <row r="37" spans="1:8">
      <c r="B37" t="s">
        <v>241</v>
      </c>
      <c r="D37">
        <f>(D12+2*D14+2*D30)+1</f>
        <v>15</v>
      </c>
      <c r="E37" t="s">
        <v>21</v>
      </c>
      <c r="F37" t="s">
        <v>346</v>
      </c>
    </row>
    <row r="38" spans="1:8">
      <c r="B38" t="s">
        <v>245</v>
      </c>
      <c r="D38">
        <f>(D9*D37)+2*(0.5*D9/D10*D9)</f>
        <v>38</v>
      </c>
      <c r="E38" t="s">
        <v>48</v>
      </c>
      <c r="F38" t="s">
        <v>243</v>
      </c>
    </row>
    <row r="40" spans="1:8">
      <c r="A40" s="2" t="s">
        <v>26</v>
      </c>
    </row>
    <row r="41" spans="1:8" ht="15.75" thickBot="1">
      <c r="B41" s="1" t="s">
        <v>1</v>
      </c>
      <c r="C41" s="1" t="s">
        <v>2</v>
      </c>
      <c r="D41" s="1" t="s">
        <v>3</v>
      </c>
      <c r="E41" s="1" t="s">
        <v>616</v>
      </c>
      <c r="F41" s="1" t="s">
        <v>4</v>
      </c>
      <c r="G41" s="1" t="s">
        <v>643</v>
      </c>
      <c r="H41" s="1" t="s">
        <v>3</v>
      </c>
    </row>
    <row r="42" spans="1:8">
      <c r="A42" t="s">
        <v>37</v>
      </c>
      <c r="B42" t="s">
        <v>244</v>
      </c>
      <c r="C42">
        <f>D38*D4*1000</f>
        <v>38000</v>
      </c>
      <c r="D42" t="s">
        <v>48</v>
      </c>
      <c r="E42" s="13" t="s">
        <v>639</v>
      </c>
      <c r="G42" s="29">
        <f>C42</f>
        <v>38000</v>
      </c>
      <c r="H42" t="s">
        <v>48</v>
      </c>
    </row>
    <row r="43" spans="1:8">
      <c r="C43" s="13"/>
      <c r="D43" s="13"/>
      <c r="E43" s="13"/>
      <c r="G43" s="29"/>
    </row>
    <row r="44" spans="1:8">
      <c r="A44" t="s">
        <v>239</v>
      </c>
      <c r="B44" t="s">
        <v>236</v>
      </c>
      <c r="C44" s="13">
        <f>D16*D4*1000</f>
        <v>11000</v>
      </c>
      <c r="D44" s="13" t="s">
        <v>49</v>
      </c>
      <c r="E44" s="13" t="s">
        <v>236</v>
      </c>
      <c r="G44" s="29">
        <f>C44</f>
        <v>11000</v>
      </c>
      <c r="H44" t="s">
        <v>49</v>
      </c>
    </row>
    <row r="45" spans="1:8">
      <c r="B45" t="s">
        <v>238</v>
      </c>
      <c r="C45" s="13">
        <f>D17*D4*1000</f>
        <v>7480</v>
      </c>
      <c r="D45" s="13" t="s">
        <v>159</v>
      </c>
      <c r="E45" s="13" t="s">
        <v>625</v>
      </c>
      <c r="G45" s="29">
        <f>C45*1000</f>
        <v>7480000</v>
      </c>
      <c r="H45" t="s">
        <v>644</v>
      </c>
    </row>
    <row r="46" spans="1:8">
      <c r="B46" t="s">
        <v>233</v>
      </c>
      <c r="C46" s="13">
        <f>INT(D18*D4*1000)</f>
        <v>3340</v>
      </c>
      <c r="D46" s="13" t="s">
        <v>5</v>
      </c>
      <c r="E46" s="13" t="s">
        <v>641</v>
      </c>
      <c r="G46" s="29">
        <f t="shared" ref="G46:G53" si="0">C46</f>
        <v>3340</v>
      </c>
      <c r="H46" t="s">
        <v>487</v>
      </c>
    </row>
    <row r="47" spans="1:8">
      <c r="B47" t="s">
        <v>237</v>
      </c>
      <c r="C47" s="13">
        <f>(D19*D4*1000)</f>
        <v>4000</v>
      </c>
      <c r="D47" s="13" t="s">
        <v>21</v>
      </c>
      <c r="E47" s="13" t="s">
        <v>642</v>
      </c>
      <c r="G47" s="29">
        <f t="shared" si="0"/>
        <v>4000</v>
      </c>
      <c r="H47" t="s">
        <v>21</v>
      </c>
    </row>
    <row r="48" spans="1:8">
      <c r="C48" s="13"/>
      <c r="D48" s="13"/>
      <c r="E48" s="13"/>
      <c r="G48" s="29"/>
    </row>
    <row r="49" spans="1:8">
      <c r="A49" t="s">
        <v>240</v>
      </c>
      <c r="B49" t="s">
        <v>252</v>
      </c>
      <c r="C49" s="13">
        <f>D21/240*$D$4*1000</f>
        <v>50</v>
      </c>
      <c r="D49" s="13" t="s">
        <v>393</v>
      </c>
      <c r="E49" s="13" t="s">
        <v>627</v>
      </c>
      <c r="F49" t="s">
        <v>626</v>
      </c>
      <c r="G49" s="29">
        <f>C49*D22</f>
        <v>185</v>
      </c>
      <c r="H49" t="s">
        <v>21</v>
      </c>
    </row>
    <row r="50" spans="1:8">
      <c r="C50" s="13">
        <f>INT(D21/240*D4*1000)</f>
        <v>50</v>
      </c>
      <c r="D50" s="13" t="s">
        <v>5</v>
      </c>
      <c r="E50" s="13" t="s">
        <v>629</v>
      </c>
      <c r="F50" t="s">
        <v>628</v>
      </c>
      <c r="G50" s="29">
        <f t="shared" si="0"/>
        <v>50</v>
      </c>
      <c r="H50" t="s">
        <v>487</v>
      </c>
    </row>
    <row r="51" spans="1:8">
      <c r="B51" t="s">
        <v>254</v>
      </c>
      <c r="C51" s="13">
        <f>D23/240*$D$4*1000</f>
        <v>50</v>
      </c>
      <c r="D51" s="13" t="s">
        <v>393</v>
      </c>
      <c r="E51" s="13" t="s">
        <v>630</v>
      </c>
      <c r="F51" t="s">
        <v>626</v>
      </c>
      <c r="G51" s="29">
        <f>C51*D24</f>
        <v>142.5</v>
      </c>
      <c r="H51" t="s">
        <v>21</v>
      </c>
    </row>
    <row r="52" spans="1:8">
      <c r="B52" t="s">
        <v>255</v>
      </c>
      <c r="C52" s="61">
        <f>D25/240*$D$4*1000*D26</f>
        <v>22.291666666666668</v>
      </c>
      <c r="D52" s="13" t="s">
        <v>21</v>
      </c>
      <c r="E52" s="13" t="s">
        <v>631</v>
      </c>
      <c r="G52" s="29">
        <f t="shared" si="0"/>
        <v>22.291666666666668</v>
      </c>
      <c r="H52" t="s">
        <v>21</v>
      </c>
    </row>
    <row r="53" spans="1:8">
      <c r="B53" t="s">
        <v>256</v>
      </c>
      <c r="C53" s="13">
        <f>INT(D27/240*D4*1000)</f>
        <v>5</v>
      </c>
      <c r="D53" s="13" t="s">
        <v>5</v>
      </c>
      <c r="E53" s="13" t="s">
        <v>632</v>
      </c>
      <c r="G53" s="29">
        <f t="shared" si="0"/>
        <v>5</v>
      </c>
      <c r="H53" t="s">
        <v>487</v>
      </c>
    </row>
    <row r="54" spans="1:8">
      <c r="C54" s="13">
        <f>((D27/D25)/240)*(D4*1000)*D28</f>
        <v>121.5</v>
      </c>
      <c r="D54" s="13" t="s">
        <v>21</v>
      </c>
      <c r="E54" s="13" t="s">
        <v>619</v>
      </c>
      <c r="F54" s="48" t="s">
        <v>651</v>
      </c>
      <c r="G54" s="29">
        <f>C54*4.3</f>
        <v>522.44999999999993</v>
      </c>
      <c r="H54" t="s">
        <v>644</v>
      </c>
    </row>
    <row r="55" spans="1:8">
      <c r="C55" s="13"/>
      <c r="D55" s="13"/>
      <c r="E55" s="13"/>
      <c r="G55" s="29"/>
    </row>
    <row r="56" spans="1:8">
      <c r="A56" t="s">
        <v>246</v>
      </c>
      <c r="B56" t="s">
        <v>251</v>
      </c>
      <c r="C56" s="13">
        <f>D5*D4*1000/12</f>
        <v>166.66666666666666</v>
      </c>
      <c r="D56" s="13" t="s">
        <v>393</v>
      </c>
      <c r="E56" s="13" t="s">
        <v>633</v>
      </c>
      <c r="F56" s="48" t="s">
        <v>648</v>
      </c>
      <c r="G56" s="29">
        <f>C56*12*3</f>
        <v>6000</v>
      </c>
      <c r="H56" t="s">
        <v>49</v>
      </c>
    </row>
    <row r="57" spans="1:8">
      <c r="C57" s="13"/>
      <c r="D57" s="13"/>
      <c r="E57" s="13"/>
      <c r="G57" s="29"/>
    </row>
    <row r="58" spans="1:8">
      <c r="A58" t="s">
        <v>249</v>
      </c>
      <c r="B58" t="s">
        <v>261</v>
      </c>
      <c r="C58" s="13">
        <f>2*(D30*D31*D4*1000*D32/1000)</f>
        <v>540</v>
      </c>
      <c r="D58" s="13" t="s">
        <v>159</v>
      </c>
      <c r="E58" s="13" t="s">
        <v>625</v>
      </c>
      <c r="G58" s="29">
        <f>C58*1000</f>
        <v>540000</v>
      </c>
      <c r="H58" t="s">
        <v>644</v>
      </c>
    </row>
    <row r="59" spans="1:8">
      <c r="A59" s="17"/>
      <c r="D59" s="13"/>
      <c r="E59" s="13"/>
      <c r="F59" s="13"/>
    </row>
  </sheetData>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theme="7"/>
  </sheetPr>
  <dimension ref="A1:H55"/>
  <sheetViews>
    <sheetView zoomScale="70" zoomScaleNormal="70" workbookViewId="0"/>
  </sheetViews>
  <sheetFormatPr defaultRowHeight="15"/>
  <cols>
    <col min="1" max="1" width="20.28515625" bestFit="1" customWidth="1"/>
    <col min="2" max="2" width="52.85546875" bestFit="1" customWidth="1"/>
    <col min="3" max="3" width="14.85546875" bestFit="1" customWidth="1"/>
    <col min="4" max="4" width="11" bestFit="1" customWidth="1"/>
    <col min="5" max="5" width="91.42578125" bestFit="1" customWidth="1"/>
    <col min="6" max="6" width="73.140625" bestFit="1" customWidth="1"/>
    <col min="7" max="7" width="15.85546875" bestFit="1" customWidth="1"/>
    <col min="8" max="8" width="11" bestFit="1" customWidth="1"/>
    <col min="9" max="9" width="13.42578125" bestFit="1" customWidth="1"/>
  </cols>
  <sheetData>
    <row r="1" spans="1:6">
      <c r="A1" s="2" t="s">
        <v>0</v>
      </c>
    </row>
    <row r="2" spans="1:6" ht="15.75" thickBot="1">
      <c r="B2" s="1" t="s">
        <v>1</v>
      </c>
      <c r="C2" s="1"/>
      <c r="D2" s="1" t="s">
        <v>2</v>
      </c>
      <c r="E2" s="1" t="s">
        <v>3</v>
      </c>
      <c r="F2" s="1" t="s">
        <v>4</v>
      </c>
    </row>
    <row r="3" spans="1:6">
      <c r="B3" t="s">
        <v>347</v>
      </c>
      <c r="D3">
        <v>1</v>
      </c>
      <c r="E3" t="s">
        <v>10</v>
      </c>
    </row>
    <row r="5" spans="1:6">
      <c r="A5" s="2" t="s">
        <v>11</v>
      </c>
    </row>
    <row r="6" spans="1:6" ht="15.75" thickBot="1">
      <c r="B6" s="1" t="s">
        <v>1</v>
      </c>
      <c r="C6" s="1"/>
      <c r="D6" s="1" t="s">
        <v>2</v>
      </c>
      <c r="E6" s="1" t="s">
        <v>3</v>
      </c>
      <c r="F6" s="1" t="s">
        <v>4</v>
      </c>
    </row>
    <row r="7" spans="1:6">
      <c r="A7" t="s">
        <v>353</v>
      </c>
      <c r="B7" t="s">
        <v>352</v>
      </c>
      <c r="D7">
        <f>D8+2*0.5</f>
        <v>4.1500000000000004</v>
      </c>
      <c r="E7" t="s">
        <v>21</v>
      </c>
    </row>
    <row r="8" spans="1:6">
      <c r="B8" t="s">
        <v>348</v>
      </c>
      <c r="D8">
        <f>1.65+1.5</f>
        <v>3.15</v>
      </c>
      <c r="E8" t="s">
        <v>21</v>
      </c>
    </row>
    <row r="9" spans="1:6">
      <c r="B9" t="s">
        <v>350</v>
      </c>
      <c r="D9">
        <v>0.22</v>
      </c>
      <c r="E9" t="s">
        <v>21</v>
      </c>
    </row>
    <row r="10" spans="1:6">
      <c r="B10" t="s">
        <v>351</v>
      </c>
      <c r="D10">
        <v>8.5000000000000006E-2</v>
      </c>
      <c r="E10" t="s">
        <v>21</v>
      </c>
    </row>
    <row r="11" spans="1:6">
      <c r="B11" t="s">
        <v>281</v>
      </c>
      <c r="D11">
        <v>0.5</v>
      </c>
      <c r="E11" t="s">
        <v>21</v>
      </c>
    </row>
    <row r="12" spans="1:6">
      <c r="B12" t="s">
        <v>363</v>
      </c>
      <c r="D12">
        <f>1/2</f>
        <v>0.5</v>
      </c>
      <c r="F12" t="s">
        <v>242</v>
      </c>
    </row>
    <row r="13" spans="1:6">
      <c r="B13" t="s">
        <v>262</v>
      </c>
      <c r="D13">
        <f>1600/1000</f>
        <v>1.6</v>
      </c>
      <c r="E13" t="s">
        <v>364</v>
      </c>
      <c r="F13" t="s">
        <v>365</v>
      </c>
    </row>
    <row r="15" spans="1:6">
      <c r="A15" t="s">
        <v>361</v>
      </c>
      <c r="B15" t="s">
        <v>349</v>
      </c>
      <c r="D15">
        <v>1.4350000000000001</v>
      </c>
      <c r="E15" t="s">
        <v>21</v>
      </c>
    </row>
    <row r="16" spans="1:6">
      <c r="B16" t="s">
        <v>357</v>
      </c>
      <c r="D16">
        <v>49.39</v>
      </c>
      <c r="E16" t="s">
        <v>358</v>
      </c>
    </row>
    <row r="17" spans="1:6">
      <c r="B17" t="s">
        <v>373</v>
      </c>
      <c r="D17">
        <v>6.7000000000000004E-2</v>
      </c>
      <c r="E17" t="s">
        <v>21</v>
      </c>
    </row>
    <row r="18" spans="1:6">
      <c r="B18" t="s">
        <v>359</v>
      </c>
      <c r="D18">
        <v>54.77</v>
      </c>
      <c r="E18" t="s">
        <v>358</v>
      </c>
    </row>
    <row r="19" spans="1:6">
      <c r="B19" t="s">
        <v>367</v>
      </c>
      <c r="D19">
        <v>1.67</v>
      </c>
      <c r="E19" t="s">
        <v>5</v>
      </c>
      <c r="F19" t="s">
        <v>360</v>
      </c>
    </row>
    <row r="20" spans="1:6">
      <c r="B20" t="s">
        <v>368</v>
      </c>
      <c r="D20">
        <v>2.7</v>
      </c>
      <c r="E20" t="s">
        <v>21</v>
      </c>
    </row>
    <row r="21" spans="1:6">
      <c r="B21" t="s">
        <v>369</v>
      </c>
      <c r="D21">
        <v>0.2</v>
      </c>
      <c r="E21" t="s">
        <v>21</v>
      </c>
    </row>
    <row r="23" spans="1:6">
      <c r="A23" t="s">
        <v>240</v>
      </c>
      <c r="B23" t="s">
        <v>257</v>
      </c>
      <c r="D23">
        <v>0.1</v>
      </c>
      <c r="E23" t="s">
        <v>5</v>
      </c>
      <c r="F23" t="s">
        <v>360</v>
      </c>
    </row>
    <row r="24" spans="1:6">
      <c r="B24" t="s">
        <v>258</v>
      </c>
      <c r="D24">
        <v>3.7</v>
      </c>
      <c r="E24" t="s">
        <v>21</v>
      </c>
    </row>
    <row r="25" spans="1:6">
      <c r="B25" t="s">
        <v>254</v>
      </c>
      <c r="D25">
        <v>0.1</v>
      </c>
      <c r="E25" t="s">
        <v>5</v>
      </c>
      <c r="F25" t="s">
        <v>360</v>
      </c>
    </row>
    <row r="26" spans="1:6">
      <c r="B26" t="s">
        <v>259</v>
      </c>
      <c r="D26">
        <v>2.85</v>
      </c>
      <c r="E26" t="s">
        <v>21</v>
      </c>
    </row>
    <row r="32" spans="1:6">
      <c r="A32" s="2" t="s">
        <v>136</v>
      </c>
    </row>
    <row r="33" spans="1:8">
      <c r="B33" t="s">
        <v>354</v>
      </c>
      <c r="D33">
        <f>D21*(D7-D20)</f>
        <v>0.29000000000000004</v>
      </c>
      <c r="E33" t="s">
        <v>49</v>
      </c>
    </row>
    <row r="34" spans="1:8">
      <c r="B34" t="s">
        <v>362</v>
      </c>
      <c r="D34">
        <f>((D11*D7)+2*(0.5*D11*(D11*D12)))*D3*1000</f>
        <v>2200</v>
      </c>
      <c r="E34" t="s">
        <v>48</v>
      </c>
    </row>
    <row r="40" spans="1:8">
      <c r="A40" s="2" t="s">
        <v>26</v>
      </c>
    </row>
    <row r="41" spans="1:8" ht="15.75" thickBot="1">
      <c r="B41" s="1" t="s">
        <v>1</v>
      </c>
      <c r="C41" s="1" t="s">
        <v>2</v>
      </c>
      <c r="D41" s="1" t="s">
        <v>3</v>
      </c>
      <c r="E41" s="1" t="s">
        <v>616</v>
      </c>
      <c r="F41" s="1" t="s">
        <v>4</v>
      </c>
      <c r="G41" s="1" t="s">
        <v>643</v>
      </c>
      <c r="H41" s="1" t="s">
        <v>3</v>
      </c>
    </row>
    <row r="42" spans="1:8">
      <c r="A42" t="s">
        <v>37</v>
      </c>
      <c r="B42" t="s">
        <v>31</v>
      </c>
      <c r="C42">
        <f>D34</f>
        <v>2200</v>
      </c>
      <c r="D42" t="s">
        <v>48</v>
      </c>
      <c r="E42" t="s">
        <v>639</v>
      </c>
      <c r="G42" s="54">
        <f>C42</f>
        <v>2200</v>
      </c>
      <c r="H42" t="s">
        <v>48</v>
      </c>
    </row>
    <row r="43" spans="1:8">
      <c r="G43" s="13"/>
    </row>
    <row r="44" spans="1:8">
      <c r="A44" t="s">
        <v>43</v>
      </c>
      <c r="B44" t="s">
        <v>355</v>
      </c>
      <c r="C44">
        <f>D9*D7*D3*1000*D13</f>
        <v>1460.8000000000002</v>
      </c>
      <c r="D44" t="s">
        <v>159</v>
      </c>
      <c r="E44" t="s">
        <v>625</v>
      </c>
      <c r="G44" s="54">
        <f>C44*1000</f>
        <v>1460800.0000000002</v>
      </c>
      <c r="H44" t="s">
        <v>644</v>
      </c>
    </row>
    <row r="45" spans="1:8">
      <c r="B45" t="s">
        <v>356</v>
      </c>
      <c r="C45">
        <f>D33*D3*1000*D13</f>
        <v>464.00000000000011</v>
      </c>
      <c r="D45" t="s">
        <v>159</v>
      </c>
      <c r="E45" t="s">
        <v>625</v>
      </c>
      <c r="G45" s="54">
        <f>C45*1000</f>
        <v>464000.00000000012</v>
      </c>
      <c r="H45" t="s">
        <v>644</v>
      </c>
    </row>
    <row r="46" spans="1:8">
      <c r="B46" t="s">
        <v>366</v>
      </c>
      <c r="C46">
        <f>D19*D3*1000</f>
        <v>1670</v>
      </c>
      <c r="D46" t="s">
        <v>5</v>
      </c>
      <c r="E46" t="s">
        <v>641</v>
      </c>
      <c r="G46" s="13">
        <f>C46</f>
        <v>1670</v>
      </c>
      <c r="H46" t="s">
        <v>487</v>
      </c>
    </row>
    <row r="47" spans="1:8">
      <c r="B47" t="s">
        <v>370</v>
      </c>
      <c r="C47" s="13">
        <f>2*D3*1000*(D16/D18)</f>
        <v>1803.5420850830747</v>
      </c>
      <c r="D47" s="13" t="s">
        <v>21</v>
      </c>
      <c r="E47" t="s">
        <v>642</v>
      </c>
      <c r="F47" s="13" t="s">
        <v>371</v>
      </c>
      <c r="G47" s="30">
        <f>C47</f>
        <v>1803.5420850830747</v>
      </c>
      <c r="H47" t="s">
        <v>21</v>
      </c>
    </row>
    <row r="48" spans="1:8">
      <c r="B48" t="s">
        <v>372</v>
      </c>
      <c r="C48" s="13">
        <f>(D7-2*D17)*D10*D3*1000</f>
        <v>341.36000000000007</v>
      </c>
      <c r="D48" s="13" t="s">
        <v>48</v>
      </c>
      <c r="E48" s="13" t="s">
        <v>652</v>
      </c>
      <c r="G48" s="30">
        <f>C48</f>
        <v>341.36000000000007</v>
      </c>
      <c r="H48" t="s">
        <v>48</v>
      </c>
    </row>
    <row r="49" spans="1:8">
      <c r="C49" s="13"/>
      <c r="D49" s="13"/>
    </row>
    <row r="50" spans="1:8">
      <c r="A50" t="s">
        <v>240</v>
      </c>
      <c r="B50" t="s">
        <v>252</v>
      </c>
      <c r="C50" s="13">
        <f>D23*$D$3*1000</f>
        <v>100</v>
      </c>
      <c r="D50" s="13" t="s">
        <v>393</v>
      </c>
      <c r="E50" t="s">
        <v>627</v>
      </c>
      <c r="G50" s="29">
        <f>C50*D24</f>
        <v>370</v>
      </c>
      <c r="H50" t="s">
        <v>21</v>
      </c>
    </row>
    <row r="51" spans="1:8">
      <c r="C51" s="13">
        <f>INT(D23*D3*1000)</f>
        <v>100</v>
      </c>
      <c r="D51" s="13" t="s">
        <v>5</v>
      </c>
      <c r="E51" t="s">
        <v>629</v>
      </c>
      <c r="G51" s="29">
        <f t="shared" ref="G51" si="0">C51</f>
        <v>100</v>
      </c>
      <c r="H51" t="s">
        <v>487</v>
      </c>
    </row>
    <row r="52" spans="1:8">
      <c r="B52" t="s">
        <v>254</v>
      </c>
      <c r="C52" s="13">
        <f>D25*$D$3*1000</f>
        <v>100</v>
      </c>
      <c r="D52" s="13" t="s">
        <v>393</v>
      </c>
      <c r="E52" t="s">
        <v>630</v>
      </c>
      <c r="G52" s="29">
        <f>C52*D26</f>
        <v>285</v>
      </c>
      <c r="H52" t="s">
        <v>21</v>
      </c>
    </row>
    <row r="53" spans="1:8">
      <c r="A53" s="17"/>
    </row>
    <row r="55" spans="1:8">
      <c r="A55" s="17"/>
    </row>
  </sheetData>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tabColor theme="7"/>
  </sheetPr>
  <dimension ref="A1:H110"/>
  <sheetViews>
    <sheetView zoomScale="70" zoomScaleNormal="70" workbookViewId="0">
      <selection activeCell="A108" sqref="A108:A111"/>
    </sheetView>
  </sheetViews>
  <sheetFormatPr defaultRowHeight="15"/>
  <cols>
    <col min="1" max="1" width="20.28515625" bestFit="1" customWidth="1"/>
    <col min="2" max="2" width="52.85546875" bestFit="1" customWidth="1"/>
    <col min="3" max="3" width="33.42578125" customWidth="1"/>
    <col min="4" max="4" width="12.42578125" bestFit="1" customWidth="1"/>
    <col min="5" max="5" width="87.28515625" bestFit="1" customWidth="1"/>
    <col min="6" max="6" width="51.5703125" bestFit="1" customWidth="1"/>
    <col min="7" max="7" width="15.85546875" bestFit="1" customWidth="1"/>
    <col min="8" max="8" width="11" bestFit="1" customWidth="1"/>
    <col min="9" max="9" width="13.42578125" bestFit="1" customWidth="1"/>
  </cols>
  <sheetData>
    <row r="1" spans="1:6">
      <c r="A1" s="2" t="s">
        <v>0</v>
      </c>
    </row>
    <row r="2" spans="1:6" ht="15.75" thickBot="1">
      <c r="B2" s="1" t="s">
        <v>1</v>
      </c>
      <c r="C2" s="1"/>
      <c r="D2" s="1" t="s">
        <v>2</v>
      </c>
      <c r="E2" s="1" t="s">
        <v>3</v>
      </c>
      <c r="F2" s="1" t="s">
        <v>4</v>
      </c>
    </row>
    <row r="3" spans="1:6">
      <c r="B3" t="s">
        <v>376</v>
      </c>
      <c r="D3">
        <v>2</v>
      </c>
      <c r="E3" t="s">
        <v>5</v>
      </c>
      <c r="F3" t="s">
        <v>100</v>
      </c>
    </row>
    <row r="4" spans="1:6">
      <c r="B4" t="s">
        <v>57</v>
      </c>
      <c r="D4">
        <v>0</v>
      </c>
      <c r="E4" t="s">
        <v>5</v>
      </c>
      <c r="F4" t="s">
        <v>58</v>
      </c>
    </row>
    <row r="5" spans="1:6">
      <c r="B5" t="s">
        <v>82</v>
      </c>
      <c r="D5">
        <v>2</v>
      </c>
      <c r="E5" t="s">
        <v>21</v>
      </c>
    </row>
    <row r="6" spans="1:6">
      <c r="B6" t="s">
        <v>59</v>
      </c>
      <c r="D6">
        <v>1</v>
      </c>
      <c r="E6" t="s">
        <v>5</v>
      </c>
      <c r="F6" t="s">
        <v>58</v>
      </c>
    </row>
    <row r="7" spans="1:6">
      <c r="B7" t="s">
        <v>72</v>
      </c>
      <c r="D7">
        <v>1</v>
      </c>
      <c r="E7" t="s">
        <v>10</v>
      </c>
    </row>
    <row r="9" spans="1:6">
      <c r="A9" s="2" t="s">
        <v>11</v>
      </c>
    </row>
    <row r="10" spans="1:6" ht="15.75" thickBot="1">
      <c r="B10" s="1" t="s">
        <v>1</v>
      </c>
      <c r="C10" s="1"/>
      <c r="D10" s="1" t="s">
        <v>2</v>
      </c>
      <c r="E10" s="1" t="s">
        <v>3</v>
      </c>
      <c r="F10" s="1" t="s">
        <v>4</v>
      </c>
    </row>
    <row r="11" spans="1:6">
      <c r="A11" t="s">
        <v>250</v>
      </c>
      <c r="B11" t="s">
        <v>231</v>
      </c>
      <c r="D11">
        <v>2</v>
      </c>
      <c r="E11" t="s">
        <v>21</v>
      </c>
    </row>
    <row r="12" spans="1:6">
      <c r="B12" t="s">
        <v>228</v>
      </c>
      <c r="D12">
        <f>1/2</f>
        <v>0.5</v>
      </c>
      <c r="F12" t="s">
        <v>242</v>
      </c>
    </row>
    <row r="13" spans="1:6">
      <c r="B13" t="s">
        <v>229</v>
      </c>
      <c r="D13">
        <v>3.6</v>
      </c>
      <c r="E13" t="s">
        <v>21</v>
      </c>
    </row>
    <row r="14" spans="1:6">
      <c r="B14" t="s">
        <v>343</v>
      </c>
      <c r="D14">
        <f>D13*2+0.2</f>
        <v>7.4</v>
      </c>
      <c r="E14" t="s">
        <v>21</v>
      </c>
    </row>
    <row r="15" spans="1:6">
      <c r="B15" t="s">
        <v>262</v>
      </c>
      <c r="D15">
        <v>2700</v>
      </c>
      <c r="E15" t="s">
        <v>263</v>
      </c>
    </row>
    <row r="17" spans="1:6">
      <c r="A17" t="s">
        <v>239</v>
      </c>
      <c r="B17" t="s">
        <v>382</v>
      </c>
      <c r="D17">
        <f>0.21</f>
        <v>0.21</v>
      </c>
      <c r="E17" t="s">
        <v>21</v>
      </c>
      <c r="F17" t="s">
        <v>385</v>
      </c>
    </row>
    <row r="18" spans="1:6">
      <c r="B18" t="s">
        <v>383</v>
      </c>
      <c r="D18">
        <f>D14</f>
        <v>7.4</v>
      </c>
      <c r="E18" t="s">
        <v>21</v>
      </c>
      <c r="F18" t="s">
        <v>385</v>
      </c>
    </row>
    <row r="19" spans="1:6">
      <c r="B19" t="s">
        <v>236</v>
      </c>
      <c r="D19">
        <v>3.96</v>
      </c>
      <c r="E19" t="s">
        <v>49</v>
      </c>
      <c r="F19" t="s">
        <v>385</v>
      </c>
    </row>
    <row r="20" spans="1:6">
      <c r="B20" t="s">
        <v>238</v>
      </c>
      <c r="D20">
        <v>2.69</v>
      </c>
      <c r="E20" t="s">
        <v>159</v>
      </c>
      <c r="F20" t="s">
        <v>385</v>
      </c>
    </row>
    <row r="21" spans="1:6">
      <c r="B21" t="s">
        <v>234</v>
      </c>
      <c r="D21">
        <v>1.67</v>
      </c>
      <c r="E21" t="s">
        <v>5</v>
      </c>
      <c r="F21" t="s">
        <v>385</v>
      </c>
    </row>
    <row r="22" spans="1:6">
      <c r="B22" t="s">
        <v>237</v>
      </c>
      <c r="D22">
        <v>2</v>
      </c>
      <c r="E22" t="s">
        <v>21</v>
      </c>
      <c r="F22" t="s">
        <v>385</v>
      </c>
    </row>
    <row r="24" spans="1:6">
      <c r="A24" t="s">
        <v>265</v>
      </c>
      <c r="B24" t="s">
        <v>396</v>
      </c>
      <c r="D24">
        <v>0.6</v>
      </c>
      <c r="E24" t="s">
        <v>21</v>
      </c>
    </row>
    <row r="25" spans="1:6">
      <c r="B25" t="s">
        <v>397</v>
      </c>
      <c r="D25">
        <v>0.78</v>
      </c>
      <c r="E25" t="s">
        <v>21</v>
      </c>
    </row>
    <row r="26" spans="1:6">
      <c r="B26" t="s">
        <v>398</v>
      </c>
      <c r="D26">
        <v>1</v>
      </c>
      <c r="E26" t="s">
        <v>21</v>
      </c>
    </row>
    <row r="28" spans="1:6">
      <c r="B28" t="s">
        <v>60</v>
      </c>
      <c r="D28">
        <v>4.5</v>
      </c>
      <c r="E28" t="s">
        <v>21</v>
      </c>
    </row>
    <row r="29" spans="1:6">
      <c r="B29" t="s">
        <v>20</v>
      </c>
      <c r="D29">
        <v>0.5</v>
      </c>
      <c r="E29" t="s">
        <v>21</v>
      </c>
    </row>
    <row r="31" spans="1:6" ht="15.75">
      <c r="B31" s="6" t="s">
        <v>64</v>
      </c>
      <c r="D31">
        <v>25</v>
      </c>
      <c r="E31" t="s">
        <v>69</v>
      </c>
    </row>
    <row r="32" spans="1:6" ht="15.75">
      <c r="B32" s="6" t="s">
        <v>65</v>
      </c>
      <c r="D32">
        <v>23</v>
      </c>
      <c r="E32" t="s">
        <v>69</v>
      </c>
    </row>
    <row r="33" spans="1:6" ht="15.75">
      <c r="B33" s="6" t="s">
        <v>66</v>
      </c>
      <c r="D33">
        <v>20</v>
      </c>
      <c r="E33" t="s">
        <v>69</v>
      </c>
    </row>
    <row r="34" spans="1:6" ht="15.75">
      <c r="B34" t="s">
        <v>67</v>
      </c>
      <c r="D34">
        <v>32800</v>
      </c>
      <c r="E34" t="s">
        <v>70</v>
      </c>
    </row>
    <row r="35" spans="1:6">
      <c r="B35" t="s">
        <v>68</v>
      </c>
      <c r="D35">
        <v>30</v>
      </c>
      <c r="E35" t="s">
        <v>71</v>
      </c>
    </row>
    <row r="36" spans="1:6" ht="15.75">
      <c r="B36" s="7" t="s">
        <v>73</v>
      </c>
      <c r="D36" s="8">
        <v>160</v>
      </c>
      <c r="E36" s="8" t="s">
        <v>74</v>
      </c>
      <c r="F36" s="8" t="s">
        <v>75</v>
      </c>
    </row>
    <row r="37" spans="1:6">
      <c r="B37" t="s">
        <v>97</v>
      </c>
      <c r="D37">
        <v>30</v>
      </c>
      <c r="E37" t="s">
        <v>98</v>
      </c>
      <c r="F37" s="8"/>
    </row>
    <row r="38" spans="1:6">
      <c r="B38" t="s">
        <v>377</v>
      </c>
      <c r="D38">
        <v>25</v>
      </c>
      <c r="E38" s="13" t="s">
        <v>123</v>
      </c>
      <c r="F38" t="s">
        <v>378</v>
      </c>
    </row>
    <row r="39" spans="1:6">
      <c r="E39" s="13"/>
    </row>
    <row r="40" spans="1:6">
      <c r="B40" t="s">
        <v>471</v>
      </c>
      <c r="D40">
        <v>5</v>
      </c>
      <c r="E40" s="13" t="s">
        <v>472</v>
      </c>
      <c r="F40" t="s">
        <v>475</v>
      </c>
    </row>
    <row r="41" spans="1:6">
      <c r="B41" t="s">
        <v>477</v>
      </c>
      <c r="D41">
        <f>12*14.74</f>
        <v>176.88</v>
      </c>
      <c r="E41" s="13" t="s">
        <v>478</v>
      </c>
      <c r="F41" t="s">
        <v>479</v>
      </c>
    </row>
    <row r="42" spans="1:6">
      <c r="B42" t="s">
        <v>473</v>
      </c>
      <c r="D42">
        <v>4.2</v>
      </c>
      <c r="E42" t="s">
        <v>21</v>
      </c>
      <c r="F42" t="s">
        <v>474</v>
      </c>
    </row>
    <row r="43" spans="1:6">
      <c r="B43" t="s">
        <v>586</v>
      </c>
      <c r="D43">
        <v>6</v>
      </c>
      <c r="E43" t="s">
        <v>21</v>
      </c>
      <c r="F43" s="19"/>
    </row>
    <row r="44" spans="1:6">
      <c r="B44" t="s">
        <v>458</v>
      </c>
      <c r="D44">
        <v>0.16900000000000001</v>
      </c>
      <c r="E44" s="13" t="s">
        <v>459</v>
      </c>
      <c r="F44" s="24" t="s">
        <v>460</v>
      </c>
    </row>
    <row r="45" spans="1:6">
      <c r="E45" s="13"/>
    </row>
    <row r="47" spans="1:6">
      <c r="A47" s="2" t="s">
        <v>136</v>
      </c>
    </row>
    <row r="48" spans="1:6">
      <c r="B48" t="s">
        <v>176</v>
      </c>
      <c r="D48">
        <f>((D5+D28+D52)*D38)</f>
        <v>176.25</v>
      </c>
      <c r="E48" t="s">
        <v>21</v>
      </c>
    </row>
    <row r="49" spans="2:5">
      <c r="B49" t="s">
        <v>379</v>
      </c>
      <c r="D49" s="9">
        <f>SQRT((D28^2)+(D48^2))</f>
        <v>176.30743744947347</v>
      </c>
      <c r="E49" t="s">
        <v>21</v>
      </c>
    </row>
    <row r="51" spans="2:5">
      <c r="B51" t="s">
        <v>76</v>
      </c>
      <c r="D51">
        <f>D14+2*D24</f>
        <v>8.6</v>
      </c>
      <c r="E51" t="s">
        <v>21</v>
      </c>
    </row>
    <row r="52" spans="2:5">
      <c r="B52" t="s">
        <v>77</v>
      </c>
      <c r="D52" s="10">
        <f>IF(D4=0,CEILING(1/16*D51,0.05),CEILING(1/16*D51/2,0.05))</f>
        <v>0.55000000000000004</v>
      </c>
      <c r="E52" t="s">
        <v>21</v>
      </c>
    </row>
    <row r="54" spans="2:5">
      <c r="B54" s="8" t="s">
        <v>91</v>
      </c>
      <c r="D54" s="12">
        <f>D34*1000*D52^3</f>
        <v>5457100.0000000019</v>
      </c>
      <c r="E54" s="12" t="s">
        <v>94</v>
      </c>
    </row>
    <row r="55" spans="2:5">
      <c r="B55" s="8" t="s">
        <v>92</v>
      </c>
      <c r="D55" s="12">
        <f>2*D54*10^-9/(D51^2)</f>
        <v>1.4756895619253657E-4</v>
      </c>
      <c r="E55" s="12" t="s">
        <v>93</v>
      </c>
    </row>
    <row r="57" spans="2:5" ht="15.75">
      <c r="B57" t="s">
        <v>78</v>
      </c>
      <c r="D57" s="11">
        <f>IF(D4=0,1/14*D52*D31*(D51)^2,1/14*D52*D31*(D51/2)^2)</f>
        <v>72.639285714285705</v>
      </c>
      <c r="E57" t="s">
        <v>81</v>
      </c>
    </row>
    <row r="58" spans="2:5" ht="15.75">
      <c r="B58" t="s">
        <v>79</v>
      </c>
      <c r="D58" s="11">
        <f>IF(D4=0,1/14*(D5*D33+(140+D51*1000/30)/1000)*D51^2,1/14*(D5*D33+(140+D51*1000/30)/1000)*(D51/2)^2)</f>
        <v>213.56830476190476</v>
      </c>
      <c r="E58" t="s">
        <v>81</v>
      </c>
    </row>
    <row r="59" spans="2:5" ht="15.75">
      <c r="B59" t="s">
        <v>80</v>
      </c>
      <c r="D59" s="11">
        <f>IF(D6=1,IF(D4=0,1/14*D37*D51^2,1/14*D37*(D51/2)^2),0)</f>
        <v>158.48571428571427</v>
      </c>
      <c r="E59" t="s">
        <v>81</v>
      </c>
    </row>
    <row r="61" spans="2:5" ht="15.75">
      <c r="B61" t="s">
        <v>83</v>
      </c>
      <c r="D61" s="11">
        <f>SUM(D57:D59)</f>
        <v>444.69330476190476</v>
      </c>
      <c r="E61" t="s">
        <v>81</v>
      </c>
    </row>
    <row r="62" spans="2:5" ht="15.75">
      <c r="B62" t="s">
        <v>84</v>
      </c>
      <c r="D62" s="11">
        <f>1.25*(D57+D58)+1.5*D59</f>
        <v>595.48805952380951</v>
      </c>
      <c r="E62" t="s">
        <v>81</v>
      </c>
    </row>
    <row r="63" spans="2:5" ht="15.75">
      <c r="B63" t="s">
        <v>85</v>
      </c>
      <c r="D63" s="11">
        <f>D62/(D51/7)</f>
        <v>484.69958333333341</v>
      </c>
      <c r="E63" t="s">
        <v>89</v>
      </c>
    </row>
    <row r="65" spans="1:8" ht="15.75">
      <c r="B65" t="s">
        <v>86</v>
      </c>
      <c r="D65" s="11">
        <f>D61*10^6/(D36*(D52*1000-76)*0.9)</f>
        <v>6515.0800627330163</v>
      </c>
      <c r="E65" t="s">
        <v>90</v>
      </c>
    </row>
    <row r="66" spans="1:8">
      <c r="B66" t="s">
        <v>87</v>
      </c>
      <c r="D66" s="9">
        <f>(D62/D61*D36)/435</f>
        <v>0.4925419126258358</v>
      </c>
      <c r="E66" t="s">
        <v>95</v>
      </c>
    </row>
    <row r="67" spans="1:8" ht="15.75">
      <c r="B67" t="s">
        <v>88</v>
      </c>
      <c r="D67" s="11">
        <f>MIN(0.12*(1+SQRT(200/(D52*1000))*(100*D65/(D52*1000*1000)*D35)^(1/3))*1000*0.9*D52,0.035*(1+SQRT(200/(D52*1000)))^1.5*D35^0.5)*D52*1000</f>
        <v>213.9936396097529</v>
      </c>
      <c r="E67" t="s">
        <v>89</v>
      </c>
    </row>
    <row r="68" spans="1:8">
      <c r="D68" s="11"/>
    </row>
    <row r="69" spans="1:8">
      <c r="B69" t="s">
        <v>399</v>
      </c>
      <c r="D69">
        <f>D14+2*D26+1</f>
        <v>10.4</v>
      </c>
      <c r="E69" t="s">
        <v>21</v>
      </c>
    </row>
    <row r="70" spans="1:8">
      <c r="B70" t="s">
        <v>245</v>
      </c>
      <c r="D70">
        <f>(D11*D69)+2*(0.5*D11/D12*D11)</f>
        <v>28.8</v>
      </c>
      <c r="E70" t="s">
        <v>48</v>
      </c>
      <c r="F70" t="s">
        <v>243</v>
      </c>
    </row>
    <row r="71" spans="1:8">
      <c r="B71" t="s">
        <v>585</v>
      </c>
      <c r="D71">
        <f>3*(D5+D28)</f>
        <v>19.5</v>
      </c>
      <c r="E71" t="s">
        <v>21</v>
      </c>
      <c r="F71" s="19"/>
    </row>
    <row r="72" spans="1:8">
      <c r="B72" t="s">
        <v>595</v>
      </c>
      <c r="D72" s="15">
        <f>(2*D7*1000)/D42</f>
        <v>476.19047619047615</v>
      </c>
      <c r="E72" t="s">
        <v>393</v>
      </c>
      <c r="F72" s="19"/>
    </row>
    <row r="75" spans="1:8">
      <c r="A75" s="2" t="s">
        <v>26</v>
      </c>
    </row>
    <row r="76" spans="1:8" ht="15.75" thickBot="1">
      <c r="B76" s="1" t="s">
        <v>1</v>
      </c>
      <c r="C76" s="1" t="s">
        <v>2</v>
      </c>
      <c r="D76" s="1" t="s">
        <v>3</v>
      </c>
      <c r="E76" s="1" t="s">
        <v>616</v>
      </c>
      <c r="F76" s="1" t="s">
        <v>4</v>
      </c>
      <c r="G76" s="1" t="s">
        <v>643</v>
      </c>
      <c r="H76" s="1" t="s">
        <v>3</v>
      </c>
    </row>
    <row r="77" spans="1:8">
      <c r="A77" s="13" t="s">
        <v>42</v>
      </c>
      <c r="B77" s="13" t="s">
        <v>96</v>
      </c>
      <c r="C77" s="15">
        <f>((D51+D52)*D52*2+(D28+D52)*D52*2)*D7*1000</f>
        <v>15620.000000000002</v>
      </c>
      <c r="D77" t="s">
        <v>48</v>
      </c>
      <c r="E77" s="56" t="s">
        <v>617</v>
      </c>
      <c r="G77" s="29">
        <f>C77</f>
        <v>15620.000000000002</v>
      </c>
      <c r="H77" s="55" t="s">
        <v>48</v>
      </c>
    </row>
    <row r="78" spans="1:8">
      <c r="A78" s="13"/>
      <c r="B78" s="13" t="s">
        <v>99</v>
      </c>
      <c r="C78" s="15">
        <f>(CEILING((2.4*D65*7850/1000000)/D52,5))/1000*C77</f>
        <v>3514.5000000000005</v>
      </c>
      <c r="D78" t="s">
        <v>159</v>
      </c>
      <c r="E78" s="13" t="s">
        <v>620</v>
      </c>
      <c r="F78" s="49"/>
      <c r="G78" s="29">
        <f>C78*1000</f>
        <v>3514500.0000000005</v>
      </c>
      <c r="H78" t="s">
        <v>644</v>
      </c>
    </row>
    <row r="79" spans="1:8">
      <c r="A79" s="13"/>
      <c r="B79" s="13" t="s">
        <v>588</v>
      </c>
      <c r="C79">
        <f>2*(D71*D7*1000*D44)</f>
        <v>6591</v>
      </c>
      <c r="D79" t="s">
        <v>159</v>
      </c>
      <c r="E79" s="13" t="s">
        <v>653</v>
      </c>
      <c r="F79" s="13" t="s">
        <v>654</v>
      </c>
      <c r="G79" s="54">
        <f>C79/D44</f>
        <v>39000</v>
      </c>
      <c r="H79" t="s">
        <v>49</v>
      </c>
    </row>
    <row r="80" spans="1:8">
      <c r="A80" s="13"/>
      <c r="B80" s="13" t="s">
        <v>455</v>
      </c>
      <c r="C80" s="15">
        <f>D72</f>
        <v>476.19047619047615</v>
      </c>
      <c r="D80" t="s">
        <v>5</v>
      </c>
      <c r="E80" s="13" t="s">
        <v>657</v>
      </c>
      <c r="F80" s="13" t="s">
        <v>656</v>
      </c>
      <c r="G80" s="30">
        <f>C80</f>
        <v>476.19047619047615</v>
      </c>
      <c r="H80" t="s">
        <v>487</v>
      </c>
    </row>
    <row r="81" spans="1:8">
      <c r="A81" s="13"/>
      <c r="B81" s="13"/>
      <c r="C81" s="15"/>
    </row>
    <row r="82" spans="1:8">
      <c r="A82" s="13" t="s">
        <v>170</v>
      </c>
      <c r="B82" s="13" t="s">
        <v>591</v>
      </c>
      <c r="C82" s="15">
        <f>2*2*(((D5+D28)*0.5)*D48)</f>
        <v>2291.25</v>
      </c>
      <c r="D82" t="s">
        <v>49</v>
      </c>
      <c r="E82" s="13" t="s">
        <v>655</v>
      </c>
      <c r="F82" s="13" t="s">
        <v>615</v>
      </c>
      <c r="G82" s="30">
        <f>C82</f>
        <v>2291.25</v>
      </c>
      <c r="H82" t="s">
        <v>49</v>
      </c>
    </row>
    <row r="83" spans="1:8">
      <c r="A83" s="13"/>
      <c r="B83" s="13" t="s">
        <v>587</v>
      </c>
      <c r="C83" s="15">
        <f>2*2*(((D43+D71)/2)*D48)*D44</f>
        <v>1519.0987500000001</v>
      </c>
      <c r="D83" t="s">
        <v>159</v>
      </c>
      <c r="E83" s="13" t="s">
        <v>653</v>
      </c>
      <c r="F83" s="13" t="s">
        <v>654</v>
      </c>
      <c r="G83" s="30">
        <f>C83/D44</f>
        <v>8988.75</v>
      </c>
      <c r="H83" t="s">
        <v>49</v>
      </c>
    </row>
    <row r="84" spans="1:8">
      <c r="A84" s="13"/>
      <c r="B84" s="13"/>
    </row>
    <row r="85" spans="1:8">
      <c r="A85" s="13"/>
      <c r="B85" s="13"/>
    </row>
    <row r="86" spans="1:8">
      <c r="A86" s="13" t="s">
        <v>384</v>
      </c>
      <c r="B86" s="13" t="s">
        <v>381</v>
      </c>
      <c r="C86">
        <f>D18*D17*D7*1000</f>
        <v>1554</v>
      </c>
      <c r="D86" t="s">
        <v>48</v>
      </c>
      <c r="E86" s="13" t="s">
        <v>652</v>
      </c>
      <c r="G86">
        <f>C86</f>
        <v>1554</v>
      </c>
      <c r="H86" t="s">
        <v>48</v>
      </c>
    </row>
    <row r="87" spans="1:8">
      <c r="A87" s="13"/>
      <c r="B87" s="13" t="s">
        <v>233</v>
      </c>
      <c r="C87">
        <f>D21*D7*1000</f>
        <v>1670</v>
      </c>
      <c r="D87" t="s">
        <v>5</v>
      </c>
      <c r="E87" s="13" t="s">
        <v>641</v>
      </c>
      <c r="G87">
        <f>C87</f>
        <v>1670</v>
      </c>
      <c r="H87" t="s">
        <v>487</v>
      </c>
    </row>
    <row r="88" spans="1:8">
      <c r="A88" s="13"/>
      <c r="B88" s="13" t="s">
        <v>237</v>
      </c>
      <c r="C88">
        <f>(D22*D7*1000)</f>
        <v>2000</v>
      </c>
      <c r="D88" t="s">
        <v>21</v>
      </c>
      <c r="E88" s="13" t="s">
        <v>642</v>
      </c>
      <c r="G88">
        <f>C88</f>
        <v>2000</v>
      </c>
      <c r="H88" t="s">
        <v>21</v>
      </c>
    </row>
    <row r="89" spans="1:8">
      <c r="A89" s="13"/>
      <c r="B89" s="13" t="s">
        <v>380</v>
      </c>
      <c r="C89">
        <f>D7*1000</f>
        <v>1000</v>
      </c>
      <c r="D89" t="s">
        <v>21</v>
      </c>
      <c r="E89" s="13" t="s">
        <v>642</v>
      </c>
      <c r="G89">
        <f>C89</f>
        <v>1000</v>
      </c>
      <c r="H89" t="s">
        <v>21</v>
      </c>
    </row>
    <row r="90" spans="1:8">
      <c r="A90" s="13"/>
      <c r="B90" s="13"/>
      <c r="E90" s="13"/>
    </row>
    <row r="91" spans="1:8">
      <c r="A91" s="13" t="s">
        <v>386</v>
      </c>
      <c r="B91" s="13" t="s">
        <v>387</v>
      </c>
      <c r="C91">
        <f>2*D24*D25*D7*1000</f>
        <v>936</v>
      </c>
      <c r="D91" t="s">
        <v>48</v>
      </c>
      <c r="E91" s="13" t="s">
        <v>652</v>
      </c>
      <c r="G91">
        <f>C91</f>
        <v>936</v>
      </c>
      <c r="H91" t="s">
        <v>48</v>
      </c>
    </row>
    <row r="92" spans="1:8">
      <c r="A92" s="13"/>
      <c r="B92" s="13"/>
      <c r="E92" s="13"/>
    </row>
    <row r="93" spans="1:8">
      <c r="A93" s="13" t="s">
        <v>395</v>
      </c>
      <c r="B93" s="13" t="s">
        <v>244</v>
      </c>
      <c r="C93">
        <f>D70*(2*D48)</f>
        <v>10152</v>
      </c>
      <c r="D93" t="s">
        <v>48</v>
      </c>
      <c r="E93" s="13" t="s">
        <v>639</v>
      </c>
      <c r="G93">
        <f>C93</f>
        <v>10152</v>
      </c>
      <c r="H93" t="s">
        <v>48</v>
      </c>
    </row>
    <row r="94" spans="1:8">
      <c r="A94" s="13"/>
      <c r="B94" s="13"/>
      <c r="E94" s="13"/>
    </row>
    <row r="95" spans="1:8">
      <c r="A95" s="13" t="s">
        <v>388</v>
      </c>
      <c r="B95" s="13" t="s">
        <v>236</v>
      </c>
      <c r="C95">
        <f>2*(D19*D48)*2</f>
        <v>2791.8</v>
      </c>
      <c r="D95" t="s">
        <v>49</v>
      </c>
      <c r="E95" s="13" t="s">
        <v>236</v>
      </c>
      <c r="G95" s="15">
        <f>C95</f>
        <v>2791.8</v>
      </c>
      <c r="H95" t="s">
        <v>49</v>
      </c>
    </row>
    <row r="96" spans="1:8">
      <c r="A96" s="13"/>
      <c r="B96" s="13" t="s">
        <v>238</v>
      </c>
      <c r="C96" s="11">
        <f>2*D20*D48*2</f>
        <v>1896.45</v>
      </c>
      <c r="D96" t="s">
        <v>159</v>
      </c>
      <c r="E96" s="13" t="s">
        <v>625</v>
      </c>
      <c r="G96" s="29">
        <f>C96*1000</f>
        <v>1896450</v>
      </c>
      <c r="H96" t="s">
        <v>644</v>
      </c>
    </row>
    <row r="97" spans="1:8">
      <c r="A97" s="13"/>
      <c r="B97" s="13" t="s">
        <v>233</v>
      </c>
      <c r="C97" s="11">
        <f>INT(2*D21*D48)*2</f>
        <v>1176</v>
      </c>
      <c r="D97" t="s">
        <v>5</v>
      </c>
      <c r="E97" s="49" t="s">
        <v>641</v>
      </c>
      <c r="G97" s="15">
        <f>C97</f>
        <v>1176</v>
      </c>
      <c r="H97" t="s">
        <v>487</v>
      </c>
    </row>
    <row r="98" spans="1:8">
      <c r="A98" s="13"/>
      <c r="B98" s="13" t="s">
        <v>237</v>
      </c>
      <c r="C98" s="11">
        <f>2*2*D22*D49</f>
        <v>1410.4594995957877</v>
      </c>
      <c r="D98" t="s">
        <v>21</v>
      </c>
      <c r="E98" s="13" t="s">
        <v>642</v>
      </c>
      <c r="G98" s="15">
        <f t="shared" ref="G98:G99" si="0">C98</f>
        <v>1410.4594995957877</v>
      </c>
      <c r="H98" t="s">
        <v>21</v>
      </c>
    </row>
    <row r="99" spans="1:8">
      <c r="A99" s="13"/>
      <c r="B99" s="13" t="s">
        <v>380</v>
      </c>
      <c r="C99" s="11">
        <f>2*2*D49</f>
        <v>705.22974979789387</v>
      </c>
      <c r="D99" t="s">
        <v>21</v>
      </c>
      <c r="E99" s="13" t="s">
        <v>642</v>
      </c>
      <c r="G99" s="15">
        <f t="shared" si="0"/>
        <v>705.22974979789387</v>
      </c>
      <c r="H99" t="s">
        <v>21</v>
      </c>
    </row>
    <row r="100" spans="1:8">
      <c r="A100" s="13"/>
      <c r="B100" s="13"/>
      <c r="C100" s="9"/>
      <c r="E100" s="13"/>
    </row>
    <row r="101" spans="1:8">
      <c r="A101" s="13" t="s">
        <v>394</v>
      </c>
      <c r="B101" s="13" t="s">
        <v>261</v>
      </c>
      <c r="C101" s="11">
        <f>2*(2*D49*D24*0.1*D15)/1000</f>
        <v>114.2472194672588</v>
      </c>
      <c r="D101" t="s">
        <v>159</v>
      </c>
      <c r="E101" s="13" t="s">
        <v>625</v>
      </c>
      <c r="G101" s="29">
        <f>C101*1000</f>
        <v>114247.21946725881</v>
      </c>
      <c r="H101" t="s">
        <v>644</v>
      </c>
    </row>
    <row r="102" spans="1:8">
      <c r="A102" s="13"/>
      <c r="B102" s="13"/>
    </row>
    <row r="103" spans="1:8">
      <c r="A103" s="13" t="s">
        <v>175</v>
      </c>
      <c r="B103" s="13" t="s">
        <v>172</v>
      </c>
      <c r="C103" s="15">
        <f>(D51+2*D52)*(D28+D5+2*D52)*D7*1000</f>
        <v>73719.999999999985</v>
      </c>
      <c r="D103" t="s">
        <v>48</v>
      </c>
      <c r="E103" s="13" t="s">
        <v>699</v>
      </c>
      <c r="F103" s="90" t="s">
        <v>51</v>
      </c>
      <c r="G103" s="30">
        <f>C103</f>
        <v>73719.999999999985</v>
      </c>
      <c r="H103" t="s">
        <v>48</v>
      </c>
    </row>
    <row r="104" spans="1:8">
      <c r="A104" s="13"/>
      <c r="B104" s="13" t="s">
        <v>174</v>
      </c>
      <c r="C104" s="15">
        <f>2*((D48*(D5+D28+D52)*0.5)+(D11*D49))*D51</f>
        <v>16751.013348261888</v>
      </c>
      <c r="D104" t="s">
        <v>48</v>
      </c>
      <c r="E104" s="13" t="s">
        <v>699</v>
      </c>
      <c r="F104" s="90" t="s">
        <v>51</v>
      </c>
      <c r="G104" s="30">
        <f t="shared" ref="G104:G105" si="1">C104</f>
        <v>16751.013348261888</v>
      </c>
      <c r="H104" t="s">
        <v>48</v>
      </c>
    </row>
    <row r="105" spans="1:8">
      <c r="A105" s="13"/>
      <c r="B105" s="13" t="s">
        <v>173</v>
      </c>
      <c r="C105" s="15">
        <f>(D51+2*D52)*(D5)*D7*1000</f>
        <v>19400</v>
      </c>
      <c r="D105" t="s">
        <v>48</v>
      </c>
      <c r="E105" s="13" t="s">
        <v>699</v>
      </c>
      <c r="F105" s="13"/>
      <c r="G105" s="30">
        <f t="shared" si="1"/>
        <v>19400</v>
      </c>
      <c r="H105" t="s">
        <v>48</v>
      </c>
    </row>
    <row r="106" spans="1:8">
      <c r="A106" s="17"/>
      <c r="E106" s="13"/>
    </row>
    <row r="107" spans="1:8">
      <c r="A107" s="17"/>
    </row>
    <row r="108" spans="1:8">
      <c r="A108" s="17"/>
    </row>
    <row r="109" spans="1:8">
      <c r="A109" s="89"/>
    </row>
    <row r="110" spans="1:8">
      <c r="A110" s="87"/>
    </row>
  </sheetData>
  <hyperlinks>
    <hyperlink ref="F44" r:id="rId1"/>
  </hyperlinks>
  <pageMargins left="0.7" right="0.7" top="0.75" bottom="0.75" header="0.3" footer="0.3"/>
  <pageSetup paperSize="9" orientation="portrait" r:id="rId2"/>
  <extLst>
    <ext xmlns:x14="http://schemas.microsoft.com/office/spreadsheetml/2009/9/main" uri="{78C0D931-6437-407d-A8EE-F0AAD7539E65}">
      <x14:conditionalFormattings>
        <x14:conditionalFormatting xmlns:xm="http://schemas.microsoft.com/office/excel/2006/main">
          <x14:cfRule type="containsText" priority="5" operator="containsText" text="@" id="{F501EE8E-20E5-4FD7-98A4-7311E5B35386}">
            <xm:f>NOT(ISERROR(SEARCH("@",Tunnel!F66)))</xm:f>
            <x14:dxf>
              <fill>
                <patternFill>
                  <bgColor rgb="FFFFFF00"/>
                </patternFill>
              </fill>
            </x14:dxf>
          </x14:cfRule>
          <xm:sqref>F71:F72</xm:sqref>
        </x14:conditionalFormatting>
        <x14:conditionalFormatting xmlns:xm="http://schemas.microsoft.com/office/excel/2006/main">
          <x14:cfRule type="containsText" priority="2" operator="containsText" text="@" id="{ACDCAB81-6AFD-4DB1-ABF5-403A507C1A64}">
            <xm:f>NOT(ISERROR(SEARCH("@",Tunnel!F43)))</xm:f>
            <x14:dxf>
              <fill>
                <patternFill>
                  <bgColor rgb="FFFFFF00"/>
                </patternFill>
              </fill>
            </x14:dxf>
          </x14:cfRule>
          <xm:sqref>F43</xm:sqref>
        </x14:conditionalFormatting>
        <x14:conditionalFormatting xmlns:xm="http://schemas.microsoft.com/office/excel/2006/main">
          <x14:cfRule type="containsText" priority="3" operator="containsText" text="@" id="{0CB2DEF6-58E2-4E48-8B05-689CD7C56C96}">
            <xm:f>NOT(ISERROR(SEARCH("@",'Open bak'!F39)))</xm:f>
            <x14:dxf>
              <fill>
                <patternFill>
                  <bgColor rgb="FFFFFF00"/>
                </patternFill>
              </fill>
            </x14:dxf>
          </x14:cfRule>
          <xm:sqref>F40:F42</xm:sqref>
        </x14:conditionalFormatting>
        <x14:conditionalFormatting xmlns:xm="http://schemas.microsoft.com/office/excel/2006/main">
          <x14:cfRule type="containsText" priority="4" operator="containsText" text="@" id="{CB4A8AE1-C9E2-4852-8A76-323EEAF83EF9}">
            <xm:f>NOT(ISERROR(SEARCH("@",'Open bak'!F44)))</xm:f>
            <x14:dxf>
              <fill>
                <patternFill>
                  <bgColor rgb="FFFFFF00"/>
                </patternFill>
              </fill>
            </x14:dxf>
          </x14:cfRule>
          <xm:sqref>F44</xm:sqref>
        </x14:conditionalFormatting>
        <x14:conditionalFormatting xmlns:xm="http://schemas.microsoft.com/office/excel/2006/main">
          <x14:cfRule type="containsText" priority="18" operator="containsText" text="@" id="{4A71EDFB-53D2-42A5-8CB9-EAF98642D713}">
            <xm:f>NOT(ISERROR(SEARCH("@",Tunnel!#REF!)))</xm:f>
            <x14:dxf>
              <fill>
                <patternFill>
                  <bgColor rgb="FFFFFF00"/>
                </patternFill>
              </fill>
            </x14:dxf>
          </x14:cfRule>
          <xm:sqref>F82</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5"/>
  </sheetPr>
  <dimension ref="A1:H80"/>
  <sheetViews>
    <sheetView topLeftCell="A43" zoomScale="70" zoomScaleNormal="70" workbookViewId="0">
      <selection activeCell="A79" sqref="A79:A81"/>
    </sheetView>
  </sheetViews>
  <sheetFormatPr defaultRowHeight="15"/>
  <cols>
    <col min="1" max="1" width="20.28515625" bestFit="1" customWidth="1"/>
    <col min="2" max="2" width="52.85546875" bestFit="1" customWidth="1"/>
    <col min="3" max="3" width="12.42578125" customWidth="1"/>
    <col min="4" max="4" width="13" customWidth="1"/>
    <col min="5" max="5" width="52.140625" customWidth="1"/>
    <col min="6" max="6" width="59.5703125" bestFit="1" customWidth="1"/>
    <col min="7" max="7" width="15.85546875" bestFit="1" customWidth="1"/>
    <col min="8" max="8" width="11" bestFit="1" customWidth="1"/>
    <col min="9" max="9" width="15.7109375" customWidth="1"/>
    <col min="11" max="11" width="59.28515625" customWidth="1"/>
    <col min="12" max="12" width="85.85546875" customWidth="1"/>
  </cols>
  <sheetData>
    <row r="1" spans="1:6">
      <c r="A1" s="2" t="s">
        <v>0</v>
      </c>
    </row>
    <row r="2" spans="1:6" ht="15.75" thickBot="1">
      <c r="B2" s="1" t="s">
        <v>1</v>
      </c>
      <c r="C2" s="1"/>
      <c r="D2" s="1" t="s">
        <v>2</v>
      </c>
      <c r="E2" s="1" t="s">
        <v>3</v>
      </c>
      <c r="F2" s="1" t="s">
        <v>4</v>
      </c>
    </row>
    <row r="3" spans="1:6">
      <c r="B3" t="s">
        <v>323</v>
      </c>
      <c r="D3">
        <v>1</v>
      </c>
      <c r="E3" t="s">
        <v>5</v>
      </c>
      <c r="F3" t="s">
        <v>326</v>
      </c>
    </row>
    <row r="4" spans="1:6">
      <c r="B4" t="s">
        <v>324</v>
      </c>
      <c r="D4">
        <v>1</v>
      </c>
      <c r="E4" t="s">
        <v>5</v>
      </c>
      <c r="F4" t="s">
        <v>326</v>
      </c>
    </row>
    <row r="5" spans="1:6">
      <c r="B5" t="s">
        <v>325</v>
      </c>
      <c r="D5">
        <v>1</v>
      </c>
      <c r="E5" t="s">
        <v>5</v>
      </c>
      <c r="F5" t="s">
        <v>326</v>
      </c>
    </row>
    <row r="7" spans="1:6">
      <c r="A7" s="2" t="s">
        <v>11</v>
      </c>
    </row>
    <row r="8" spans="1:6" ht="15.75" thickBot="1">
      <c r="B8" s="1" t="s">
        <v>1</v>
      </c>
      <c r="C8" s="1"/>
      <c r="D8" s="1" t="s">
        <v>2</v>
      </c>
      <c r="E8" s="1" t="s">
        <v>3</v>
      </c>
      <c r="F8" s="1" t="s">
        <v>4</v>
      </c>
    </row>
    <row r="9" spans="1:6">
      <c r="B9" t="s">
        <v>374</v>
      </c>
      <c r="D9">
        <v>7.5</v>
      </c>
      <c r="E9" t="s">
        <v>21</v>
      </c>
    </row>
    <row r="10" spans="1:6">
      <c r="B10" t="s">
        <v>375</v>
      </c>
      <c r="D10">
        <v>3.5</v>
      </c>
      <c r="E10" t="s">
        <v>21</v>
      </c>
    </row>
    <row r="11" spans="1:6">
      <c r="B11" t="s">
        <v>13</v>
      </c>
      <c r="D11">
        <v>0.6</v>
      </c>
      <c r="E11" t="s">
        <v>21</v>
      </c>
    </row>
    <row r="12" spans="1:6">
      <c r="B12" t="s">
        <v>316</v>
      </c>
      <c r="D12">
        <v>25</v>
      </c>
      <c r="E12" t="s">
        <v>22</v>
      </c>
    </row>
    <row r="14" spans="1:6">
      <c r="B14" t="s">
        <v>310</v>
      </c>
      <c r="D14">
        <v>6</v>
      </c>
      <c r="E14" t="s">
        <v>21</v>
      </c>
    </row>
    <row r="15" spans="1:6">
      <c r="B15" t="s">
        <v>311</v>
      </c>
      <c r="D15">
        <f>3/1</f>
        <v>3</v>
      </c>
      <c r="F15" t="s">
        <v>312</v>
      </c>
    </row>
    <row r="16" spans="1:6">
      <c r="B16" t="s">
        <v>313</v>
      </c>
      <c r="D16">
        <f>1*D9+2*4.5</f>
        <v>16.5</v>
      </c>
      <c r="E16" t="s">
        <v>21</v>
      </c>
    </row>
    <row r="17" spans="2:6">
      <c r="B17" t="s">
        <v>314</v>
      </c>
      <c r="D17">
        <f>(D14*D16)+2*(0.5*(D14*D15)*D14)</f>
        <v>207</v>
      </c>
      <c r="E17" t="s">
        <v>48</v>
      </c>
    </row>
    <row r="18" spans="2:6">
      <c r="B18" t="s">
        <v>315</v>
      </c>
      <c r="D18">
        <f>D17/2/2</f>
        <v>51.75</v>
      </c>
      <c r="E18" t="s">
        <v>48</v>
      </c>
    </row>
    <row r="20" spans="2:6">
      <c r="B20" t="s">
        <v>16</v>
      </c>
      <c r="D20">
        <v>7.0000000000000007E-2</v>
      </c>
      <c r="E20" t="s">
        <v>21</v>
      </c>
    </row>
    <row r="21" spans="2:6">
      <c r="B21" t="s">
        <v>17</v>
      </c>
      <c r="D21">
        <v>7.0000000000000007E-2</v>
      </c>
      <c r="E21" t="s">
        <v>21</v>
      </c>
      <c r="F21" t="s">
        <v>45</v>
      </c>
    </row>
    <row r="22" spans="2:6">
      <c r="B22" t="s">
        <v>18</v>
      </c>
      <c r="D22">
        <v>0.18</v>
      </c>
      <c r="E22" t="s">
        <v>21</v>
      </c>
      <c r="F22" t="s">
        <v>45</v>
      </c>
    </row>
    <row r="23" spans="2:6">
      <c r="B23" t="s">
        <v>19</v>
      </c>
      <c r="D23">
        <v>0.25</v>
      </c>
      <c r="E23" t="s">
        <v>21</v>
      </c>
      <c r="F23" t="s">
        <v>46</v>
      </c>
    </row>
    <row r="24" spans="2:6">
      <c r="B24" t="s">
        <v>20</v>
      </c>
      <c r="D24">
        <v>0.5</v>
      </c>
      <c r="E24" t="s">
        <v>21</v>
      </c>
    </row>
    <row r="26" spans="2:6">
      <c r="B26" t="s">
        <v>318</v>
      </c>
      <c r="D26">
        <v>270</v>
      </c>
      <c r="E26" t="s">
        <v>21</v>
      </c>
    </row>
    <row r="27" spans="2:6">
      <c r="B27" t="s">
        <v>319</v>
      </c>
      <c r="D27">
        <v>280</v>
      </c>
      <c r="E27" t="s">
        <v>21</v>
      </c>
    </row>
    <row r="28" spans="2:6">
      <c r="B28" t="s">
        <v>320</v>
      </c>
      <c r="D28">
        <v>333</v>
      </c>
      <c r="E28" t="s">
        <v>21</v>
      </c>
    </row>
    <row r="30" spans="2:6">
      <c r="B30" t="s">
        <v>198</v>
      </c>
      <c r="D30">
        <v>300</v>
      </c>
      <c r="E30" t="s">
        <v>21</v>
      </c>
    </row>
    <row r="31" spans="2:6">
      <c r="B31" t="s">
        <v>199</v>
      </c>
      <c r="D31">
        <v>200</v>
      </c>
      <c r="E31" t="s">
        <v>21</v>
      </c>
    </row>
    <row r="33" spans="1:8">
      <c r="B33" t="s">
        <v>612</v>
      </c>
      <c r="D33">
        <v>50</v>
      </c>
      <c r="E33" t="s">
        <v>21</v>
      </c>
    </row>
    <row r="36" spans="1:8">
      <c r="A36" s="2" t="s">
        <v>26</v>
      </c>
    </row>
    <row r="37" spans="1:8" ht="15.75" thickBot="1">
      <c r="B37" s="1" t="s">
        <v>1</v>
      </c>
      <c r="C37" s="1" t="s">
        <v>2</v>
      </c>
      <c r="D37" s="1" t="s">
        <v>3</v>
      </c>
      <c r="E37" s="1" t="s">
        <v>616</v>
      </c>
      <c r="F37" s="1" t="s">
        <v>4</v>
      </c>
      <c r="G37" s="1" t="s">
        <v>643</v>
      </c>
      <c r="H37" s="1" t="s">
        <v>3</v>
      </c>
    </row>
    <row r="39" spans="1:8">
      <c r="A39" t="s">
        <v>171</v>
      </c>
      <c r="B39" t="s">
        <v>27</v>
      </c>
      <c r="C39">
        <f>$D$9*$D$20*D26</f>
        <v>141.75</v>
      </c>
      <c r="D39" t="s">
        <v>48</v>
      </c>
      <c r="E39" t="s">
        <v>635</v>
      </c>
      <c r="F39" s="57" t="s">
        <v>645</v>
      </c>
      <c r="G39" s="50">
        <f>C39*2.5*1000</f>
        <v>354375</v>
      </c>
      <c r="H39" t="s">
        <v>644</v>
      </c>
    </row>
    <row r="40" spans="1:8">
      <c r="B40" t="s">
        <v>29</v>
      </c>
      <c r="C40">
        <f>($D$9+2*$D$11)*($D$21+$D$22)*D26</f>
        <v>587.25</v>
      </c>
      <c r="D40" t="s">
        <v>48</v>
      </c>
      <c r="E40" t="s">
        <v>638</v>
      </c>
      <c r="F40" s="57" t="s">
        <v>645</v>
      </c>
      <c r="G40" s="50">
        <f>C40*2.5*1000</f>
        <v>1468125</v>
      </c>
      <c r="H40" t="s">
        <v>644</v>
      </c>
    </row>
    <row r="41" spans="1:8">
      <c r="B41" t="s">
        <v>30</v>
      </c>
      <c r="C41">
        <f>($D$9+2*$D$11)*D26</f>
        <v>2349</v>
      </c>
      <c r="D41" t="s">
        <v>49</v>
      </c>
      <c r="E41" t="s">
        <v>623</v>
      </c>
      <c r="F41" s="57"/>
      <c r="G41" s="29">
        <f>C41*0.25</f>
        <v>587.25</v>
      </c>
      <c r="H41" t="s">
        <v>48</v>
      </c>
    </row>
    <row r="42" spans="1:8" ht="30">
      <c r="B42" s="13" t="s">
        <v>601</v>
      </c>
      <c r="C42" s="13">
        <f>$D$9*D26*2</f>
        <v>4050</v>
      </c>
      <c r="D42" s="13" t="s">
        <v>49</v>
      </c>
      <c r="E42" s="13" t="s">
        <v>668</v>
      </c>
      <c r="F42" s="88" t="s">
        <v>602</v>
      </c>
      <c r="G42" s="13">
        <f>C42</f>
        <v>4050</v>
      </c>
      <c r="H42" s="13" t="s">
        <v>49</v>
      </c>
    </row>
    <row r="43" spans="1:8">
      <c r="B43" t="s">
        <v>31</v>
      </c>
      <c r="C43">
        <f>($D$9+2*$D$11)*$D$24*D26</f>
        <v>1174.5</v>
      </c>
      <c r="D43" t="s">
        <v>48</v>
      </c>
      <c r="E43" t="s">
        <v>639</v>
      </c>
      <c r="F43" s="57"/>
      <c r="G43" s="15">
        <f>C43</f>
        <v>1174.5</v>
      </c>
      <c r="H43" t="s">
        <v>48</v>
      </c>
    </row>
    <row r="44" spans="1:8">
      <c r="B44" t="s">
        <v>175</v>
      </c>
      <c r="C44">
        <f>$D$18*D26</f>
        <v>13972.5</v>
      </c>
      <c r="D44" t="s">
        <v>48</v>
      </c>
      <c r="E44" t="s">
        <v>699</v>
      </c>
      <c r="F44" s="57"/>
      <c r="G44" s="15">
        <f>C44</f>
        <v>13972.5</v>
      </c>
      <c r="H44" t="s">
        <v>48</v>
      </c>
    </row>
    <row r="45" spans="1:8">
      <c r="B45" t="s">
        <v>306</v>
      </c>
      <c r="C45" s="9">
        <f>(D26*2+D26*($D$12/100))/1000</f>
        <v>0.60750000000000004</v>
      </c>
      <c r="D45" t="s">
        <v>10</v>
      </c>
      <c r="E45" t="s">
        <v>621</v>
      </c>
      <c r="F45" s="57"/>
      <c r="G45" s="15">
        <f>C45*1000</f>
        <v>607.5</v>
      </c>
      <c r="H45" t="s">
        <v>21</v>
      </c>
    </row>
    <row r="46" spans="1:8">
      <c r="B46" t="s">
        <v>185</v>
      </c>
      <c r="C46">
        <f>2*D26</f>
        <v>540</v>
      </c>
      <c r="D46" t="s">
        <v>21</v>
      </c>
      <c r="E46" t="s">
        <v>696</v>
      </c>
      <c r="F46" s="57"/>
      <c r="G46">
        <f>C46</f>
        <v>540</v>
      </c>
      <c r="H46" t="s">
        <v>21</v>
      </c>
    </row>
    <row r="47" spans="1:8">
      <c r="B47" t="s">
        <v>610</v>
      </c>
      <c r="C47">
        <f>ROUNDUP(D26/$D$33,0)</f>
        <v>6</v>
      </c>
      <c r="D47" t="s">
        <v>393</v>
      </c>
      <c r="E47" t="s">
        <v>624</v>
      </c>
      <c r="F47" s="57"/>
      <c r="G47">
        <f>C47</f>
        <v>6</v>
      </c>
      <c r="H47" t="s">
        <v>393</v>
      </c>
    </row>
    <row r="48" spans="1:8">
      <c r="F48" s="57"/>
    </row>
    <row r="49" spans="1:8">
      <c r="A49" t="s">
        <v>321</v>
      </c>
      <c r="F49" s="57"/>
    </row>
    <row r="50" spans="1:8">
      <c r="B50" t="s">
        <v>27</v>
      </c>
      <c r="C50">
        <f>($D$9*$D$20*D27)</f>
        <v>147</v>
      </c>
      <c r="D50" t="s">
        <v>48</v>
      </c>
      <c r="E50" t="s">
        <v>635</v>
      </c>
      <c r="F50" s="57" t="s">
        <v>645</v>
      </c>
      <c r="G50" s="50">
        <f>C50*2.5*1000</f>
        <v>367500</v>
      </c>
      <c r="H50" t="s">
        <v>644</v>
      </c>
    </row>
    <row r="51" spans="1:8">
      <c r="B51" t="s">
        <v>29</v>
      </c>
      <c r="C51">
        <f>($D$9+2*$D$11)*($D$21+$D$22)*D27</f>
        <v>609</v>
      </c>
      <c r="D51" t="s">
        <v>48</v>
      </c>
      <c r="E51" t="s">
        <v>638</v>
      </c>
      <c r="F51" s="57" t="s">
        <v>645</v>
      </c>
      <c r="G51" s="50">
        <f>C51*2.5*1000</f>
        <v>1522500</v>
      </c>
      <c r="H51" t="s">
        <v>644</v>
      </c>
    </row>
    <row r="52" spans="1:8">
      <c r="B52" t="s">
        <v>30</v>
      </c>
      <c r="C52">
        <f>($D$9+2*$D$11)*D27</f>
        <v>2436</v>
      </c>
      <c r="D52" t="s">
        <v>49</v>
      </c>
      <c r="E52" t="s">
        <v>623</v>
      </c>
      <c r="F52" s="57"/>
      <c r="G52" s="29">
        <f>C52*0.25</f>
        <v>609</v>
      </c>
      <c r="H52" t="s">
        <v>48</v>
      </c>
    </row>
    <row r="53" spans="1:8" ht="30">
      <c r="B53" s="13" t="s">
        <v>601</v>
      </c>
      <c r="C53" s="13">
        <f>$D$9*D27*2</f>
        <v>4200</v>
      </c>
      <c r="D53" s="13" t="s">
        <v>49</v>
      </c>
      <c r="E53" s="13" t="s">
        <v>668</v>
      </c>
      <c r="F53" s="88" t="s">
        <v>602</v>
      </c>
      <c r="G53" s="13">
        <f>C53</f>
        <v>4200</v>
      </c>
      <c r="H53" s="13" t="s">
        <v>49</v>
      </c>
    </row>
    <row r="54" spans="1:8">
      <c r="B54" t="s">
        <v>31</v>
      </c>
      <c r="C54">
        <f>($D$9+2*$D$11)*$D$24*D27</f>
        <v>1218</v>
      </c>
      <c r="D54" t="s">
        <v>48</v>
      </c>
      <c r="E54" t="s">
        <v>639</v>
      </c>
      <c r="F54" s="57"/>
      <c r="G54">
        <f>C54</f>
        <v>1218</v>
      </c>
      <c r="H54" t="s">
        <v>48</v>
      </c>
    </row>
    <row r="55" spans="1:8">
      <c r="B55" t="s">
        <v>175</v>
      </c>
      <c r="C55">
        <f>$D$18*D27</f>
        <v>14490</v>
      </c>
      <c r="D55" t="s">
        <v>48</v>
      </c>
      <c r="E55" t="s">
        <v>699</v>
      </c>
      <c r="F55" s="57"/>
      <c r="G55">
        <f>C55</f>
        <v>14490</v>
      </c>
      <c r="H55" t="s">
        <v>48</v>
      </c>
    </row>
    <row r="56" spans="1:8">
      <c r="B56" t="s">
        <v>306</v>
      </c>
      <c r="C56">
        <f>(D27*2+D27*($D$12/100))/1000</f>
        <v>0.63</v>
      </c>
      <c r="D56" t="s">
        <v>10</v>
      </c>
      <c r="E56" t="s">
        <v>621</v>
      </c>
      <c r="F56" s="57"/>
      <c r="G56">
        <f>C56*1000</f>
        <v>630</v>
      </c>
      <c r="H56" t="s">
        <v>21</v>
      </c>
    </row>
    <row r="57" spans="1:8">
      <c r="B57" t="s">
        <v>185</v>
      </c>
      <c r="C57">
        <f>2*D27</f>
        <v>560</v>
      </c>
      <c r="D57" t="s">
        <v>21</v>
      </c>
      <c r="E57" t="s">
        <v>696</v>
      </c>
      <c r="F57" s="57"/>
      <c r="G57">
        <f>C57</f>
        <v>560</v>
      </c>
      <c r="H57" t="s">
        <v>21</v>
      </c>
    </row>
    <row r="58" spans="1:8">
      <c r="B58" t="s">
        <v>610</v>
      </c>
      <c r="C58">
        <f>ROUNDUP(D27/$D$33,0)</f>
        <v>6</v>
      </c>
      <c r="D58" t="s">
        <v>393</v>
      </c>
      <c r="E58" t="s">
        <v>624</v>
      </c>
      <c r="F58" s="57"/>
      <c r="G58">
        <f>C58</f>
        <v>6</v>
      </c>
      <c r="H58" t="s">
        <v>393</v>
      </c>
    </row>
    <row r="59" spans="1:8">
      <c r="F59" s="57"/>
    </row>
    <row r="60" spans="1:8">
      <c r="A60" t="s">
        <v>322</v>
      </c>
      <c r="F60" s="57"/>
    </row>
    <row r="61" spans="1:8">
      <c r="B61" t="s">
        <v>27</v>
      </c>
      <c r="C61">
        <f>($D$9*$D$20*D28)</f>
        <v>174.82500000000002</v>
      </c>
      <c r="D61" t="s">
        <v>48</v>
      </c>
      <c r="E61" t="s">
        <v>635</v>
      </c>
      <c r="F61" s="57" t="s">
        <v>645</v>
      </c>
      <c r="G61" s="50">
        <f>C61*2.5*1000</f>
        <v>437062.50000000006</v>
      </c>
      <c r="H61" t="s">
        <v>644</v>
      </c>
    </row>
    <row r="62" spans="1:8">
      <c r="B62" t="s">
        <v>29</v>
      </c>
      <c r="C62">
        <f>($D$9+2*$D$11)*($D$21+$D$22)*D28</f>
        <v>724.27499999999998</v>
      </c>
      <c r="D62" t="s">
        <v>48</v>
      </c>
      <c r="E62" t="s">
        <v>638</v>
      </c>
      <c r="F62" s="57" t="s">
        <v>645</v>
      </c>
      <c r="G62" s="50">
        <f>C62*2.5*1000</f>
        <v>1810687.5</v>
      </c>
      <c r="H62" t="s">
        <v>644</v>
      </c>
    </row>
    <row r="63" spans="1:8">
      <c r="B63" t="s">
        <v>30</v>
      </c>
      <c r="C63">
        <f>($D$9+2*$D$11)*D28</f>
        <v>2897.1</v>
      </c>
      <c r="D63" t="s">
        <v>49</v>
      </c>
      <c r="E63" t="s">
        <v>623</v>
      </c>
      <c r="F63" s="57"/>
      <c r="G63" s="29">
        <f>C63*0.25</f>
        <v>724.27499999999998</v>
      </c>
      <c r="H63" t="s">
        <v>48</v>
      </c>
    </row>
    <row r="64" spans="1:8">
      <c r="B64" t="s">
        <v>31</v>
      </c>
      <c r="C64">
        <f>($D$16)*$D$24*D28</f>
        <v>2747.25</v>
      </c>
      <c r="D64" t="s">
        <v>48</v>
      </c>
      <c r="E64" t="s">
        <v>639</v>
      </c>
      <c r="F64" s="57"/>
      <c r="G64" s="59">
        <f>C64</f>
        <v>2747.25</v>
      </c>
      <c r="H64" t="s">
        <v>48</v>
      </c>
    </row>
    <row r="65" spans="1:8">
      <c r="B65" t="s">
        <v>175</v>
      </c>
      <c r="C65">
        <f>$D$18*D28</f>
        <v>17232.75</v>
      </c>
      <c r="D65" t="s">
        <v>48</v>
      </c>
      <c r="E65" t="s">
        <v>699</v>
      </c>
      <c r="F65" s="57"/>
      <c r="G65" s="59">
        <f>C65</f>
        <v>17232.75</v>
      </c>
      <c r="H65" t="s">
        <v>48</v>
      </c>
    </row>
    <row r="66" spans="1:8">
      <c r="B66" t="s">
        <v>306</v>
      </c>
      <c r="C66" s="9">
        <f>(D28*2+D28*($D$12/100))/1000</f>
        <v>0.74924999999999997</v>
      </c>
      <c r="D66" t="s">
        <v>10</v>
      </c>
      <c r="E66" t="s">
        <v>621</v>
      </c>
      <c r="F66" s="57"/>
      <c r="G66" s="59">
        <f>C66*1000</f>
        <v>749.25</v>
      </c>
      <c r="H66" t="s">
        <v>21</v>
      </c>
    </row>
    <row r="67" spans="1:8">
      <c r="B67" t="s">
        <v>185</v>
      </c>
      <c r="C67">
        <f>2*D28</f>
        <v>666</v>
      </c>
      <c r="D67" t="s">
        <v>21</v>
      </c>
      <c r="E67" t="s">
        <v>696</v>
      </c>
      <c r="F67" s="57"/>
      <c r="G67" s="59">
        <f>C67</f>
        <v>666</v>
      </c>
      <c r="H67" t="s">
        <v>21</v>
      </c>
    </row>
    <row r="68" spans="1:8">
      <c r="B68" t="s">
        <v>610</v>
      </c>
      <c r="C68">
        <f>ROUNDUP(D28/$D$33,0)</f>
        <v>7</v>
      </c>
      <c r="D68" t="s">
        <v>393</v>
      </c>
      <c r="E68" t="s">
        <v>624</v>
      </c>
      <c r="F68" s="57"/>
      <c r="G68" s="59">
        <f>C68</f>
        <v>7</v>
      </c>
      <c r="H68" t="s">
        <v>393</v>
      </c>
    </row>
    <row r="69" spans="1:8">
      <c r="F69" s="57"/>
    </row>
    <row r="70" spans="1:8">
      <c r="A70" t="s">
        <v>317</v>
      </c>
      <c r="F70" s="57"/>
    </row>
    <row r="71" spans="1:8">
      <c r="B71" t="s">
        <v>27</v>
      </c>
      <c r="C71">
        <f>($D$10+$D$11)*(($D$30+$D$31)/2)*D20</f>
        <v>71.75</v>
      </c>
      <c r="D71" t="s">
        <v>48</v>
      </c>
      <c r="E71" t="s">
        <v>635</v>
      </c>
      <c r="F71" s="57" t="s">
        <v>700</v>
      </c>
      <c r="G71" s="50">
        <f>C71*2.5*1000</f>
        <v>179375</v>
      </c>
      <c r="H71" t="s">
        <v>644</v>
      </c>
    </row>
    <row r="72" spans="1:8">
      <c r="B72" t="s">
        <v>29</v>
      </c>
      <c r="C72">
        <f>($D$10+$D$11)*(($D$30+$D$31)/2)*(D21+D22)</f>
        <v>256.25</v>
      </c>
      <c r="D72" t="s">
        <v>48</v>
      </c>
      <c r="E72" t="s">
        <v>638</v>
      </c>
      <c r="F72" s="57" t="s">
        <v>700</v>
      </c>
      <c r="G72" s="50">
        <f>C72*2.5*1000</f>
        <v>640625</v>
      </c>
      <c r="H72" t="s">
        <v>644</v>
      </c>
    </row>
    <row r="73" spans="1:8">
      <c r="B73" t="s">
        <v>30</v>
      </c>
      <c r="C73">
        <f>($D$10+$D$11)*(($D$30+$D$31)/2)</f>
        <v>1025</v>
      </c>
      <c r="D73" t="s">
        <v>49</v>
      </c>
      <c r="E73" t="s">
        <v>623</v>
      </c>
      <c r="F73" s="57" t="s">
        <v>327</v>
      </c>
      <c r="G73" s="29">
        <f>C73*0.25</f>
        <v>256.25</v>
      </c>
      <c r="H73" t="s">
        <v>48</v>
      </c>
    </row>
    <row r="74" spans="1:8">
      <c r="B74" t="s">
        <v>31</v>
      </c>
      <c r="C74">
        <f>($D$10+$D$11)*(($D$30+$D$31)/2)*D24</f>
        <v>512.5</v>
      </c>
      <c r="D74" t="s">
        <v>48</v>
      </c>
      <c r="E74" t="s">
        <v>639</v>
      </c>
      <c r="F74" s="57" t="s">
        <v>327</v>
      </c>
      <c r="G74" s="59">
        <f>C74</f>
        <v>512.5</v>
      </c>
      <c r="H74" t="s">
        <v>48</v>
      </c>
    </row>
    <row r="75" spans="1:8">
      <c r="B75" t="s">
        <v>306</v>
      </c>
      <c r="C75">
        <f>(D30+D31)/2*(1+D12/100)/1000</f>
        <v>0.3125</v>
      </c>
      <c r="D75" t="s">
        <v>10</v>
      </c>
      <c r="E75" t="s">
        <v>621</v>
      </c>
      <c r="F75" s="57" t="s">
        <v>327</v>
      </c>
      <c r="G75" s="59">
        <f>C75*1000</f>
        <v>312.5</v>
      </c>
      <c r="H75" t="s">
        <v>21</v>
      </c>
    </row>
    <row r="76" spans="1:8">
      <c r="B76" t="s">
        <v>185</v>
      </c>
      <c r="C76">
        <f>($D$30+$D$31)/2</f>
        <v>250</v>
      </c>
      <c r="D76" t="s">
        <v>21</v>
      </c>
      <c r="E76" t="s">
        <v>696</v>
      </c>
      <c r="F76" s="57" t="s">
        <v>327</v>
      </c>
      <c r="G76" s="59">
        <f>C76</f>
        <v>250</v>
      </c>
      <c r="H76" t="s">
        <v>21</v>
      </c>
    </row>
    <row r="77" spans="1:8" ht="30">
      <c r="B77" t="s">
        <v>610</v>
      </c>
      <c r="C77">
        <f>ROUNDUP((D30+D31)/2/$D$33,0)</f>
        <v>5</v>
      </c>
      <c r="D77" t="s">
        <v>393</v>
      </c>
      <c r="E77" t="s">
        <v>624</v>
      </c>
      <c r="F77" s="57" t="s">
        <v>613</v>
      </c>
      <c r="G77">
        <f>C77</f>
        <v>5</v>
      </c>
      <c r="H77" t="s">
        <v>393</v>
      </c>
    </row>
    <row r="79" spans="1:8">
      <c r="A79" s="89"/>
    </row>
    <row r="80" spans="1:8">
      <c r="A80" s="87"/>
    </row>
  </sheetData>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theme="7"/>
  </sheetPr>
  <dimension ref="A1:J34"/>
  <sheetViews>
    <sheetView zoomScale="85" zoomScaleNormal="85" workbookViewId="0">
      <selection activeCell="A33" sqref="A33:A35"/>
    </sheetView>
  </sheetViews>
  <sheetFormatPr defaultRowHeight="15"/>
  <cols>
    <col min="1" max="1" width="20.28515625" bestFit="1" customWidth="1"/>
    <col min="2" max="2" width="52.85546875" bestFit="1" customWidth="1"/>
    <col min="3" max="3" width="33.42578125" customWidth="1"/>
    <col min="5" max="5" width="70" bestFit="1" customWidth="1"/>
    <col min="6" max="6" width="22.28515625" bestFit="1" customWidth="1"/>
    <col min="7" max="7" width="12.42578125" bestFit="1" customWidth="1"/>
    <col min="8" max="8" width="8.28515625" bestFit="1" customWidth="1"/>
    <col min="9" max="9" width="12" bestFit="1" customWidth="1"/>
    <col min="10" max="10" width="46.28515625" customWidth="1"/>
  </cols>
  <sheetData>
    <row r="1" spans="1:6">
      <c r="A1" s="2" t="s">
        <v>0</v>
      </c>
    </row>
    <row r="2" spans="1:6" ht="15.75" thickBot="1">
      <c r="B2" s="1" t="s">
        <v>1</v>
      </c>
      <c r="C2" s="1"/>
      <c r="D2" s="1" t="s">
        <v>2</v>
      </c>
      <c r="E2" s="1" t="s">
        <v>3</v>
      </c>
      <c r="F2" s="1" t="s">
        <v>4</v>
      </c>
    </row>
    <row r="3" spans="1:6">
      <c r="B3" t="s">
        <v>274</v>
      </c>
      <c r="D3">
        <v>1</v>
      </c>
      <c r="E3" t="s">
        <v>10</v>
      </c>
    </row>
    <row r="5" spans="1:6">
      <c r="A5" s="2" t="s">
        <v>11</v>
      </c>
    </row>
    <row r="6" spans="1:6" ht="15.75" thickBot="1">
      <c r="B6" s="1" t="s">
        <v>1</v>
      </c>
      <c r="C6" s="1"/>
      <c r="D6" s="1" t="s">
        <v>2</v>
      </c>
      <c r="E6" s="1" t="s">
        <v>3</v>
      </c>
      <c r="F6" s="1" t="s">
        <v>4</v>
      </c>
    </row>
    <row r="7" spans="1:6">
      <c r="A7" t="s">
        <v>284</v>
      </c>
      <c r="B7" t="s">
        <v>275</v>
      </c>
      <c r="D7">
        <v>7.5</v>
      </c>
      <c r="E7" t="s">
        <v>21</v>
      </c>
    </row>
    <row r="8" spans="1:6">
      <c r="B8" t="s">
        <v>276</v>
      </c>
      <c r="D8">
        <v>0.2</v>
      </c>
      <c r="E8" t="s">
        <v>21</v>
      </c>
    </row>
    <row r="9" spans="1:6">
      <c r="B9" t="s">
        <v>277</v>
      </c>
      <c r="D9">
        <v>0.05</v>
      </c>
      <c r="E9" t="s">
        <v>21</v>
      </c>
    </row>
    <row r="10" spans="1:6">
      <c r="B10" t="s">
        <v>282</v>
      </c>
      <c r="D10">
        <v>8.5</v>
      </c>
      <c r="E10" t="s">
        <v>21</v>
      </c>
    </row>
    <row r="11" spans="1:6">
      <c r="B11" t="s">
        <v>280</v>
      </c>
      <c r="D11">
        <v>0.25</v>
      </c>
      <c r="E11" t="s">
        <v>21</v>
      </c>
    </row>
    <row r="12" spans="1:6">
      <c r="B12" t="s">
        <v>283</v>
      </c>
      <c r="D12">
        <v>9</v>
      </c>
      <c r="E12" t="s">
        <v>21</v>
      </c>
    </row>
    <row r="13" spans="1:6">
      <c r="B13" t="s">
        <v>281</v>
      </c>
      <c r="D13">
        <v>1</v>
      </c>
      <c r="E13" t="s">
        <v>21</v>
      </c>
    </row>
    <row r="15" spans="1:6">
      <c r="A15" t="s">
        <v>285</v>
      </c>
      <c r="B15" t="s">
        <v>286</v>
      </c>
      <c r="D15">
        <v>1500</v>
      </c>
      <c r="E15" t="s">
        <v>21</v>
      </c>
    </row>
    <row r="16" spans="1:6">
      <c r="B16" t="s">
        <v>287</v>
      </c>
      <c r="D16">
        <v>36</v>
      </c>
      <c r="E16" t="s">
        <v>21</v>
      </c>
    </row>
    <row r="17" spans="1:10">
      <c r="B17" t="s">
        <v>288</v>
      </c>
      <c r="D17">
        <v>4</v>
      </c>
      <c r="E17" t="s">
        <v>21</v>
      </c>
    </row>
    <row r="18" spans="1:10">
      <c r="B18" t="s">
        <v>281</v>
      </c>
      <c r="D18">
        <v>0.5</v>
      </c>
      <c r="E18" t="s">
        <v>21</v>
      </c>
    </row>
    <row r="22" spans="1:10">
      <c r="A22" s="2" t="s">
        <v>26</v>
      </c>
    </row>
    <row r="23" spans="1:10" ht="15.75" thickBot="1">
      <c r="B23" s="1" t="s">
        <v>1</v>
      </c>
      <c r="C23" s="1" t="s">
        <v>2</v>
      </c>
      <c r="D23" s="1" t="s">
        <v>3</v>
      </c>
      <c r="E23" s="1" t="s">
        <v>616</v>
      </c>
      <c r="F23" s="1" t="s">
        <v>4</v>
      </c>
      <c r="G23" s="1" t="s">
        <v>643</v>
      </c>
      <c r="H23" s="1" t="s">
        <v>3</v>
      </c>
    </row>
    <row r="24" spans="1:10">
      <c r="A24" t="s">
        <v>284</v>
      </c>
      <c r="B24" t="s">
        <v>278</v>
      </c>
      <c r="C24">
        <f>D7*D8*D3*1000</f>
        <v>1500</v>
      </c>
      <c r="D24" t="s">
        <v>48</v>
      </c>
      <c r="E24" s="13" t="s">
        <v>666</v>
      </c>
      <c r="F24" s="13"/>
      <c r="G24">
        <f>C24</f>
        <v>1500</v>
      </c>
      <c r="H24" t="s">
        <v>48</v>
      </c>
    </row>
    <row r="25" spans="1:10">
      <c r="B25" t="s">
        <v>279</v>
      </c>
      <c r="C25">
        <f>D7*D9*D3*1000</f>
        <v>375</v>
      </c>
      <c r="D25" t="s">
        <v>48</v>
      </c>
      <c r="E25" s="13" t="s">
        <v>638</v>
      </c>
      <c r="F25" s="13"/>
      <c r="G25" s="29">
        <f>C25*2.5*1000</f>
        <v>937500</v>
      </c>
      <c r="H25" t="s">
        <v>644</v>
      </c>
    </row>
    <row r="26" spans="1:10">
      <c r="B26" t="s">
        <v>30</v>
      </c>
      <c r="C26">
        <f>(D7+D10)/2*D3*1000</f>
        <v>8000</v>
      </c>
      <c r="D26" t="s">
        <v>49</v>
      </c>
      <c r="E26" t="s">
        <v>623</v>
      </c>
      <c r="G26">
        <f>C26*0.25</f>
        <v>2000</v>
      </c>
      <c r="H26" t="s">
        <v>48</v>
      </c>
    </row>
    <row r="27" spans="1:10">
      <c r="B27" t="s">
        <v>31</v>
      </c>
      <c r="C27">
        <f>(D10+D12)/2*D13*D3*1000</f>
        <v>8750</v>
      </c>
      <c r="D27" t="s">
        <v>48</v>
      </c>
      <c r="E27" t="s">
        <v>639</v>
      </c>
      <c r="G27">
        <f>C27</f>
        <v>8750</v>
      </c>
      <c r="H27" t="s">
        <v>48</v>
      </c>
    </row>
    <row r="29" spans="1:10">
      <c r="A29" t="s">
        <v>285</v>
      </c>
      <c r="B29" t="s">
        <v>289</v>
      </c>
      <c r="C29">
        <f>2*(D16*D17)*(D3*1000/D15)</f>
        <v>192</v>
      </c>
      <c r="D29" t="s">
        <v>49</v>
      </c>
      <c r="E29" s="13" t="s">
        <v>659</v>
      </c>
      <c r="F29" t="s">
        <v>390</v>
      </c>
      <c r="G29">
        <f>C29</f>
        <v>192</v>
      </c>
      <c r="H29" t="s">
        <v>49</v>
      </c>
    </row>
    <row r="30" spans="1:10">
      <c r="B30" t="s">
        <v>31</v>
      </c>
      <c r="C30">
        <f>2*(D16*D17*D18)*(D3*1000/D15)</f>
        <v>96</v>
      </c>
      <c r="D30" t="s">
        <v>48</v>
      </c>
      <c r="E30" t="s">
        <v>639</v>
      </c>
      <c r="F30" t="s">
        <v>390</v>
      </c>
      <c r="G30">
        <f>C30</f>
        <v>96</v>
      </c>
      <c r="H30" t="s">
        <v>48</v>
      </c>
    </row>
    <row r="31" spans="1:10">
      <c r="A31" s="17"/>
      <c r="J31" s="57"/>
    </row>
    <row r="33" spans="1:1">
      <c r="A33" s="89"/>
    </row>
    <row r="34" spans="1:1">
      <c r="A34" s="87"/>
    </row>
  </sheetData>
  <pageMargins left="0.7" right="0.7" top="0.75" bottom="0.75" header="0.3" footer="0.3"/>
  <pageSetup paperSize="9" orientation="portrait" horizontalDpi="300" verticalDpi="300"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4">
    <tabColor theme="6"/>
  </sheetPr>
  <dimension ref="A1:P45"/>
  <sheetViews>
    <sheetView zoomScale="70" zoomScaleNormal="70" workbookViewId="0">
      <selection activeCell="A44" sqref="A44:A46"/>
    </sheetView>
  </sheetViews>
  <sheetFormatPr defaultRowHeight="15"/>
  <cols>
    <col min="1" max="1" width="20.28515625" bestFit="1" customWidth="1"/>
    <col min="2" max="2" width="52.85546875" bestFit="1" customWidth="1"/>
    <col min="3" max="3" width="9.140625" bestFit="1" customWidth="1"/>
    <col min="4" max="4" width="11" bestFit="1" customWidth="1"/>
    <col min="5" max="5" width="51" bestFit="1" customWidth="1"/>
    <col min="6" max="6" width="79.140625" customWidth="1"/>
    <col min="7" max="7" width="31.7109375" customWidth="1"/>
    <col min="8" max="8" width="16.140625" customWidth="1"/>
    <col min="9" max="9" width="11.85546875" bestFit="1" customWidth="1"/>
    <col min="11" max="11" width="25.7109375" bestFit="1" customWidth="1"/>
  </cols>
  <sheetData>
    <row r="1" spans="1:6">
      <c r="A1" s="2" t="s">
        <v>0</v>
      </c>
    </row>
    <row r="2" spans="1:6" ht="15.75" thickBot="1">
      <c r="B2" s="1" t="s">
        <v>1</v>
      </c>
      <c r="C2" s="1"/>
      <c r="D2" s="1" t="s">
        <v>2</v>
      </c>
      <c r="E2" s="1" t="s">
        <v>3</v>
      </c>
      <c r="F2" s="1" t="s">
        <v>4</v>
      </c>
    </row>
    <row r="3" spans="1:6">
      <c r="B3" t="s">
        <v>6</v>
      </c>
      <c r="D3">
        <v>1</v>
      </c>
      <c r="E3" t="s">
        <v>5</v>
      </c>
      <c r="F3" t="s">
        <v>12</v>
      </c>
    </row>
    <row r="4" spans="1:6">
      <c r="B4" t="s">
        <v>400</v>
      </c>
      <c r="D4">
        <v>2</v>
      </c>
      <c r="E4" t="s">
        <v>5</v>
      </c>
      <c r="F4" t="s">
        <v>52</v>
      </c>
    </row>
    <row r="5" spans="1:6">
      <c r="B5" t="s">
        <v>9</v>
      </c>
      <c r="D5">
        <v>1</v>
      </c>
      <c r="E5" t="s">
        <v>10</v>
      </c>
    </row>
    <row r="7" spans="1:6">
      <c r="A7" s="2" t="s">
        <v>11</v>
      </c>
    </row>
    <row r="8" spans="1:6" ht="15.75" thickBot="1">
      <c r="B8" s="1" t="s">
        <v>1</v>
      </c>
      <c r="C8" s="1"/>
      <c r="D8" s="1" t="s">
        <v>2</v>
      </c>
      <c r="E8" s="1" t="s">
        <v>3</v>
      </c>
      <c r="F8" s="1" t="s">
        <v>4</v>
      </c>
    </row>
    <row r="9" spans="1:6">
      <c r="B9" t="s">
        <v>403</v>
      </c>
      <c r="D9">
        <v>0.3</v>
      </c>
      <c r="E9" t="s">
        <v>21</v>
      </c>
      <c r="F9" t="s">
        <v>101</v>
      </c>
    </row>
    <row r="10" spans="1:6">
      <c r="B10" t="s">
        <v>14</v>
      </c>
      <c r="D10">
        <v>25</v>
      </c>
      <c r="E10" t="s">
        <v>22</v>
      </c>
    </row>
    <row r="11" spans="1:6">
      <c r="B11" t="s">
        <v>15</v>
      </c>
      <c r="D11">
        <f>3.1+2*0.15</f>
        <v>3.4</v>
      </c>
      <c r="E11" t="s">
        <v>21</v>
      </c>
    </row>
    <row r="12" spans="1:6">
      <c r="B12" t="s">
        <v>401</v>
      </c>
      <c r="D12">
        <v>0.15</v>
      </c>
      <c r="E12" t="s">
        <v>21</v>
      </c>
    </row>
    <row r="13" spans="1:6">
      <c r="B13" t="s">
        <v>16</v>
      </c>
      <c r="D13">
        <v>7.0000000000000007E-2</v>
      </c>
      <c r="E13" t="s">
        <v>21</v>
      </c>
    </row>
    <row r="14" spans="1:6">
      <c r="B14" t="s">
        <v>17</v>
      </c>
      <c r="D14">
        <v>7.0000000000000007E-2</v>
      </c>
      <c r="E14" t="s">
        <v>21</v>
      </c>
      <c r="F14" t="s">
        <v>45</v>
      </c>
    </row>
    <row r="15" spans="1:6">
      <c r="B15" t="s">
        <v>18</v>
      </c>
      <c r="D15">
        <v>0.18</v>
      </c>
      <c r="E15" t="s">
        <v>21</v>
      </c>
      <c r="F15" t="s">
        <v>45</v>
      </c>
    </row>
    <row r="16" spans="1:6">
      <c r="B16" t="s">
        <v>19</v>
      </c>
      <c r="D16">
        <v>0.25</v>
      </c>
      <c r="E16" t="s">
        <v>21</v>
      </c>
      <c r="F16" t="s">
        <v>46</v>
      </c>
    </row>
    <row r="17" spans="1:16">
      <c r="B17" t="s">
        <v>20</v>
      </c>
      <c r="D17">
        <v>0.5</v>
      </c>
      <c r="E17" t="s">
        <v>21</v>
      </c>
      <c r="F17" t="s">
        <v>47</v>
      </c>
    </row>
    <row r="18" spans="1:16">
      <c r="B18" t="s">
        <v>612</v>
      </c>
      <c r="D18">
        <v>50</v>
      </c>
      <c r="E18" t="s">
        <v>21</v>
      </c>
    </row>
    <row r="20" spans="1:16">
      <c r="A20" s="2" t="s">
        <v>26</v>
      </c>
      <c r="F20" s="22" t="s">
        <v>414</v>
      </c>
    </row>
    <row r="21" spans="1:16" ht="15.75" thickBot="1">
      <c r="B21" s="1" t="s">
        <v>1</v>
      </c>
      <c r="C21" s="1" t="s">
        <v>2</v>
      </c>
      <c r="D21" s="1" t="s">
        <v>3</v>
      </c>
      <c r="E21" s="1" t="s">
        <v>616</v>
      </c>
      <c r="F21" s="1" t="s">
        <v>4</v>
      </c>
      <c r="G21" s="1" t="s">
        <v>643</v>
      </c>
      <c r="H21" s="1" t="s">
        <v>3</v>
      </c>
      <c r="I21" s="1" t="s">
        <v>690</v>
      </c>
    </row>
    <row r="22" spans="1:16">
      <c r="A22" t="s">
        <v>411</v>
      </c>
      <c r="B22" t="s">
        <v>27</v>
      </c>
      <c r="C22">
        <f>$D$3*$D$4*($D$5*1000)*D11*D13</f>
        <v>476.00000000000006</v>
      </c>
      <c r="D22" t="s">
        <v>48</v>
      </c>
      <c r="E22" t="s">
        <v>660</v>
      </c>
      <c r="F22" t="s">
        <v>645</v>
      </c>
      <c r="G22" s="29">
        <f>C22*2.5*1000</f>
        <v>1190000.0000000002</v>
      </c>
      <c r="H22" t="s">
        <v>644</v>
      </c>
      <c r="I22" s="59">
        <f t="shared" ref="I22:I27" si="0">G22/($D$3*$D$4)</f>
        <v>595000.00000000012</v>
      </c>
      <c r="K22" s="15"/>
      <c r="P22" s="15"/>
    </row>
    <row r="23" spans="1:16">
      <c r="B23" t="s">
        <v>29</v>
      </c>
      <c r="C23">
        <f>D3*D4*(D5*1000)*D11*(D14+D15)</f>
        <v>1700</v>
      </c>
      <c r="D23" t="s">
        <v>48</v>
      </c>
      <c r="E23" t="s">
        <v>638</v>
      </c>
      <c r="F23" t="s">
        <v>645</v>
      </c>
      <c r="G23" s="29">
        <f>C23*2.5*1000</f>
        <v>4250000</v>
      </c>
      <c r="H23" t="s">
        <v>644</v>
      </c>
      <c r="I23" s="59">
        <f t="shared" si="0"/>
        <v>2125000</v>
      </c>
      <c r="K23" s="15"/>
    </row>
    <row r="24" spans="1:16">
      <c r="B24" t="s">
        <v>601</v>
      </c>
      <c r="C24">
        <f>$D$3*$D$4*($D$5*1000)*D11*2</f>
        <v>13600</v>
      </c>
      <c r="D24" t="s">
        <v>49</v>
      </c>
      <c r="E24" s="13" t="s">
        <v>668</v>
      </c>
      <c r="F24" s="4" t="s">
        <v>602</v>
      </c>
      <c r="G24" s="54">
        <f>C24</f>
        <v>13600</v>
      </c>
      <c r="H24" s="13" t="s">
        <v>49</v>
      </c>
      <c r="I24" s="59">
        <f t="shared" si="0"/>
        <v>6800</v>
      </c>
      <c r="K24" s="15"/>
      <c r="M24" s="4"/>
    </row>
    <row r="25" spans="1:16">
      <c r="B25" t="s">
        <v>30</v>
      </c>
      <c r="C25">
        <f>D3*D4*(D5*1000)*D11</f>
        <v>6800</v>
      </c>
      <c r="D25" t="s">
        <v>49</v>
      </c>
      <c r="E25" s="13" t="s">
        <v>623</v>
      </c>
      <c r="F25" s="13"/>
      <c r="G25" s="54">
        <f>C25*0.25</f>
        <v>1700</v>
      </c>
      <c r="H25" s="13" t="s">
        <v>48</v>
      </c>
      <c r="I25" s="59">
        <f t="shared" si="0"/>
        <v>850</v>
      </c>
      <c r="K25" s="15"/>
    </row>
    <row r="26" spans="1:16">
      <c r="B26" t="s">
        <v>31</v>
      </c>
      <c r="C26">
        <f>D3*$D$4*($D$5*1000)*D11*D17</f>
        <v>3400</v>
      </c>
      <c r="D26" t="s">
        <v>48</v>
      </c>
      <c r="E26" s="13" t="s">
        <v>639</v>
      </c>
      <c r="F26" s="13"/>
      <c r="G26" s="54">
        <f>C26</f>
        <v>3400</v>
      </c>
      <c r="H26" s="13" t="s">
        <v>48</v>
      </c>
      <c r="I26" s="59">
        <f t="shared" si="0"/>
        <v>1700</v>
      </c>
      <c r="K26" s="15"/>
    </row>
    <row r="27" spans="1:16">
      <c r="B27" t="s">
        <v>32</v>
      </c>
      <c r="C27">
        <f>D3*$D$4*($D$5*1000)*D11*SUM(D13:D17)</f>
        <v>7276</v>
      </c>
      <c r="D27" t="s">
        <v>48</v>
      </c>
      <c r="E27" s="13" t="s">
        <v>699</v>
      </c>
      <c r="F27" s="12" t="s">
        <v>51</v>
      </c>
      <c r="G27" s="13">
        <f>C27</f>
        <v>7276</v>
      </c>
      <c r="H27" s="13" t="s">
        <v>48</v>
      </c>
      <c r="I27" s="59">
        <f t="shared" si="0"/>
        <v>3638</v>
      </c>
    </row>
    <row r="28" spans="1:16">
      <c r="E28" s="13"/>
      <c r="F28" s="13"/>
      <c r="G28" s="13"/>
      <c r="H28" s="13"/>
      <c r="I28" s="59"/>
    </row>
    <row r="29" spans="1:16">
      <c r="A29" t="s">
        <v>53</v>
      </c>
      <c r="B29" t="s">
        <v>53</v>
      </c>
      <c r="C29">
        <f>2*D3*(D5*1000)</f>
        <v>2000</v>
      </c>
      <c r="D29" t="s">
        <v>21</v>
      </c>
      <c r="E29" s="13" t="s">
        <v>621</v>
      </c>
      <c r="F29" s="4" t="s">
        <v>56</v>
      </c>
      <c r="G29" s="54">
        <f>C29</f>
        <v>2000</v>
      </c>
      <c r="H29" s="13" t="s">
        <v>21</v>
      </c>
      <c r="I29" s="59">
        <f>G29/($D$3*$D$4)</f>
        <v>1000</v>
      </c>
      <c r="K29" s="9"/>
      <c r="M29" s="4"/>
    </row>
    <row r="30" spans="1:16" ht="15.75" thickBot="1">
      <c r="A30" s="1"/>
      <c r="B30" s="1"/>
      <c r="C30" s="1"/>
      <c r="D30" s="1"/>
      <c r="E30" s="1"/>
      <c r="F30" s="91" t="s">
        <v>413</v>
      </c>
      <c r="G30" s="1"/>
      <c r="H30" s="1"/>
      <c r="I30" s="1" t="s">
        <v>689</v>
      </c>
      <c r="K30" s="9"/>
      <c r="M30" s="4"/>
      <c r="P30" s="29"/>
    </row>
    <row r="31" spans="1:16">
      <c r="A31" t="s">
        <v>482</v>
      </c>
      <c r="B31" t="s">
        <v>27</v>
      </c>
      <c r="C31">
        <f>2*$D$3*($D$5*1000)*$D$9*D13</f>
        <v>42.000000000000007</v>
      </c>
      <c r="D31" t="s">
        <v>48</v>
      </c>
      <c r="E31" s="13" t="s">
        <v>660</v>
      </c>
      <c r="F31" s="13" t="s">
        <v>645</v>
      </c>
      <c r="G31" s="54">
        <f>C31*2.5*1000</f>
        <v>105000.00000000001</v>
      </c>
      <c r="H31" s="13" t="s">
        <v>644</v>
      </c>
      <c r="I31" s="59">
        <f>G31/(2*$D$3)</f>
        <v>52500.000000000007</v>
      </c>
      <c r="K31" s="15"/>
      <c r="M31" s="4"/>
    </row>
    <row r="32" spans="1:16">
      <c r="B32" t="s">
        <v>29</v>
      </c>
      <c r="C32">
        <f>2*$D$3*($D$5*1000)*$D$9*(D14+D15)</f>
        <v>150</v>
      </c>
      <c r="D32" t="s">
        <v>48</v>
      </c>
      <c r="E32" s="13" t="s">
        <v>638</v>
      </c>
      <c r="F32" s="13" t="s">
        <v>645</v>
      </c>
      <c r="G32" s="54">
        <f>C32*2.5*1000</f>
        <v>375000</v>
      </c>
      <c r="H32" s="13" t="s">
        <v>644</v>
      </c>
      <c r="I32" s="59">
        <f t="shared" ref="I32:I36" si="1">G32/(2*$D$3)</f>
        <v>187500</v>
      </c>
    </row>
    <row r="33" spans="1:9">
      <c r="B33" t="s">
        <v>601</v>
      </c>
      <c r="C33">
        <f>2*$D$3*($D$5*1000)*$D$9*2</f>
        <v>1200</v>
      </c>
      <c r="D33" t="s">
        <v>49</v>
      </c>
      <c r="E33" s="13" t="s">
        <v>668</v>
      </c>
      <c r="F33" s="4" t="s">
        <v>602</v>
      </c>
      <c r="G33" s="54">
        <f>C33</f>
        <v>1200</v>
      </c>
      <c r="H33" s="13" t="s">
        <v>49</v>
      </c>
      <c r="I33" s="59">
        <f t="shared" si="1"/>
        <v>600</v>
      </c>
    </row>
    <row r="34" spans="1:9">
      <c r="B34" t="s">
        <v>30</v>
      </c>
      <c r="C34">
        <f>2*$D$3*($D$5*1000)*$D$9</f>
        <v>600</v>
      </c>
      <c r="D34" t="s">
        <v>49</v>
      </c>
      <c r="E34" s="13" t="s">
        <v>623</v>
      </c>
      <c r="F34" s="13"/>
      <c r="G34" s="54">
        <f>C34*0.25</f>
        <v>150</v>
      </c>
      <c r="H34" s="13" t="s">
        <v>48</v>
      </c>
      <c r="I34" s="59">
        <f t="shared" si="1"/>
        <v>75</v>
      </c>
    </row>
    <row r="35" spans="1:9">
      <c r="B35" t="s">
        <v>31</v>
      </c>
      <c r="C35">
        <f>2*$D$3*($D$5*1000)*$D$9*D17</f>
        <v>300</v>
      </c>
      <c r="D35" t="s">
        <v>48</v>
      </c>
      <c r="E35" s="13" t="s">
        <v>639</v>
      </c>
      <c r="F35" s="13"/>
      <c r="G35" s="54">
        <f>C35</f>
        <v>300</v>
      </c>
      <c r="H35" s="13" t="s">
        <v>48</v>
      </c>
      <c r="I35" s="59">
        <f t="shared" si="1"/>
        <v>150</v>
      </c>
    </row>
    <row r="36" spans="1:9">
      <c r="B36" t="s">
        <v>32</v>
      </c>
      <c r="C36">
        <f>2*$D$3*($D$5*1000)*$D$9*SUM(D13:D17)</f>
        <v>642</v>
      </c>
      <c r="D36" t="s">
        <v>48</v>
      </c>
      <c r="E36" s="13" t="s">
        <v>699</v>
      </c>
      <c r="F36" s="12" t="s">
        <v>51</v>
      </c>
      <c r="G36" s="13">
        <f>C36</f>
        <v>642</v>
      </c>
      <c r="H36" s="13" t="s">
        <v>48</v>
      </c>
      <c r="I36" s="59">
        <f t="shared" si="1"/>
        <v>321</v>
      </c>
    </row>
    <row r="37" spans="1:9">
      <c r="E37" s="13"/>
      <c r="F37" s="13"/>
      <c r="G37" s="13"/>
      <c r="H37" s="13"/>
    </row>
    <row r="38" spans="1:9">
      <c r="A38" t="s">
        <v>412</v>
      </c>
      <c r="B38" t="s">
        <v>35</v>
      </c>
      <c r="C38">
        <f>D5*1000*(D3-1)</f>
        <v>0</v>
      </c>
      <c r="D38" t="s">
        <v>21</v>
      </c>
      <c r="E38" s="13" t="s">
        <v>696</v>
      </c>
      <c r="F38" s="13"/>
      <c r="G38" s="13">
        <f>C38</f>
        <v>0</v>
      </c>
      <c r="H38" s="13" t="s">
        <v>21</v>
      </c>
    </row>
    <row r="39" spans="1:9">
      <c r="E39" s="13"/>
      <c r="F39" s="13"/>
      <c r="G39" s="13"/>
      <c r="H39" s="13"/>
    </row>
    <row r="40" spans="1:9">
      <c r="A40" t="s">
        <v>54</v>
      </c>
      <c r="B40" t="s">
        <v>54</v>
      </c>
      <c r="C40">
        <f>(D4-1)*(D10/100)*(D5*1000)</f>
        <v>250</v>
      </c>
      <c r="D40" t="s">
        <v>21</v>
      </c>
      <c r="E40" s="13" t="s">
        <v>621</v>
      </c>
      <c r="F40" s="4" t="s">
        <v>55</v>
      </c>
      <c r="G40" s="54">
        <f>C40</f>
        <v>250</v>
      </c>
      <c r="H40" s="13" t="s">
        <v>21</v>
      </c>
    </row>
    <row r="42" spans="1:9">
      <c r="A42" t="s">
        <v>610</v>
      </c>
      <c r="B42" t="s">
        <v>611</v>
      </c>
      <c r="C42">
        <f>D5*1000/D18</f>
        <v>20</v>
      </c>
      <c r="D42" t="s">
        <v>393</v>
      </c>
      <c r="E42" t="s">
        <v>624</v>
      </c>
      <c r="F42" s="13" t="s">
        <v>686</v>
      </c>
      <c r="G42">
        <f>C42/(6/15)</f>
        <v>50</v>
      </c>
      <c r="H42" t="s">
        <v>393</v>
      </c>
    </row>
    <row r="44" spans="1:9">
      <c r="A44" s="89"/>
    </row>
    <row r="45" spans="1:9">
      <c r="A45" s="87"/>
    </row>
  </sheetData>
  <conditionalFormatting sqref="M22:M23 M25:M31">
    <cfRule type="containsText" dxfId="0" priority="1" operator="containsText" text="@">
      <formula>NOT(ISERROR(SEARCH("@",M22)))</formula>
    </cfRule>
  </conditionalFormatting>
  <pageMargins left="0.7" right="0.7" top="0.75" bottom="0.75" header="0.3" footer="0.3"/>
  <pageSetup paperSize="9"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tabColor theme="6"/>
  </sheetPr>
  <dimension ref="A1:I48"/>
  <sheetViews>
    <sheetView zoomScale="85" zoomScaleNormal="85" workbookViewId="0">
      <selection activeCell="A47" sqref="A47:A49"/>
    </sheetView>
  </sheetViews>
  <sheetFormatPr defaultRowHeight="15"/>
  <cols>
    <col min="1" max="1" width="20.28515625" bestFit="1" customWidth="1"/>
    <col min="2" max="2" width="52.85546875" bestFit="1" customWidth="1"/>
    <col min="3" max="3" width="33.42578125" customWidth="1"/>
    <col min="5" max="5" width="49.5703125" bestFit="1" customWidth="1"/>
    <col min="6" max="6" width="63.5703125" customWidth="1"/>
    <col min="7" max="7" width="12.42578125" bestFit="1" customWidth="1"/>
    <col min="8" max="8" width="8.28515625" bestFit="1" customWidth="1"/>
    <col min="9" max="9" width="19.85546875" bestFit="1" customWidth="1"/>
    <col min="11" max="11" width="12" bestFit="1" customWidth="1"/>
  </cols>
  <sheetData>
    <row r="1" spans="1:6">
      <c r="A1" s="2" t="s">
        <v>0</v>
      </c>
    </row>
    <row r="2" spans="1:6" ht="15.75" thickBot="1">
      <c r="B2" s="1" t="s">
        <v>1</v>
      </c>
      <c r="C2" s="1"/>
      <c r="D2" s="1" t="s">
        <v>2</v>
      </c>
      <c r="E2" s="1" t="s">
        <v>3</v>
      </c>
      <c r="F2" s="1" t="s">
        <v>4</v>
      </c>
    </row>
    <row r="3" spans="1:6">
      <c r="B3" t="s">
        <v>6</v>
      </c>
      <c r="D3">
        <v>1</v>
      </c>
      <c r="E3" t="s">
        <v>5</v>
      </c>
      <c r="F3" t="s">
        <v>12</v>
      </c>
    </row>
    <row r="4" spans="1:6">
      <c r="B4" t="s">
        <v>400</v>
      </c>
      <c r="D4">
        <v>2</v>
      </c>
      <c r="E4" t="s">
        <v>5</v>
      </c>
      <c r="F4" t="s">
        <v>52</v>
      </c>
    </row>
    <row r="5" spans="1:6">
      <c r="B5" t="s">
        <v>9</v>
      </c>
      <c r="D5">
        <v>1</v>
      </c>
      <c r="E5" t="s">
        <v>10</v>
      </c>
    </row>
    <row r="7" spans="1:6">
      <c r="A7" s="2" t="s">
        <v>11</v>
      </c>
    </row>
    <row r="8" spans="1:6" ht="15.75" thickBot="1">
      <c r="B8" s="1" t="s">
        <v>1</v>
      </c>
      <c r="C8" s="1"/>
      <c r="D8" s="1" t="s">
        <v>2</v>
      </c>
      <c r="E8" s="1" t="s">
        <v>3</v>
      </c>
      <c r="F8" s="1" t="s">
        <v>4</v>
      </c>
    </row>
    <row r="9" spans="1:6">
      <c r="B9" t="s">
        <v>403</v>
      </c>
      <c r="D9">
        <v>0.3</v>
      </c>
      <c r="E9" t="s">
        <v>21</v>
      </c>
      <c r="F9" t="s">
        <v>101</v>
      </c>
    </row>
    <row r="10" spans="1:6">
      <c r="B10" t="s">
        <v>14</v>
      </c>
      <c r="D10">
        <v>25</v>
      </c>
      <c r="E10" t="s">
        <v>22</v>
      </c>
    </row>
    <row r="11" spans="1:6">
      <c r="B11" t="s">
        <v>480</v>
      </c>
      <c r="D11">
        <f>2.75+2*0.15</f>
        <v>3.05</v>
      </c>
      <c r="E11" t="s">
        <v>21</v>
      </c>
    </row>
    <row r="12" spans="1:6">
      <c r="B12" t="s">
        <v>691</v>
      </c>
      <c r="D12">
        <v>0.8</v>
      </c>
      <c r="E12" t="s">
        <v>21</v>
      </c>
    </row>
    <row r="13" spans="1:6">
      <c r="B13" t="s">
        <v>401</v>
      </c>
      <c r="D13">
        <v>0.15</v>
      </c>
      <c r="E13" t="s">
        <v>21</v>
      </c>
    </row>
    <row r="14" spans="1:6">
      <c r="B14" t="s">
        <v>16</v>
      </c>
      <c r="D14">
        <v>7.0000000000000007E-2</v>
      </c>
      <c r="E14" t="s">
        <v>21</v>
      </c>
    </row>
    <row r="15" spans="1:6">
      <c r="B15" t="s">
        <v>17</v>
      </c>
      <c r="D15">
        <v>7.0000000000000007E-2</v>
      </c>
      <c r="E15" t="s">
        <v>21</v>
      </c>
      <c r="F15" t="s">
        <v>45</v>
      </c>
    </row>
    <row r="16" spans="1:6">
      <c r="B16" t="s">
        <v>18</v>
      </c>
      <c r="D16">
        <v>0.18</v>
      </c>
      <c r="E16" t="s">
        <v>21</v>
      </c>
      <c r="F16" t="s">
        <v>45</v>
      </c>
    </row>
    <row r="17" spans="1:9">
      <c r="B17" t="s">
        <v>19</v>
      </c>
      <c r="D17">
        <v>0.25</v>
      </c>
      <c r="E17" t="s">
        <v>21</v>
      </c>
      <c r="F17" t="s">
        <v>46</v>
      </c>
    </row>
    <row r="18" spans="1:9">
      <c r="B18" t="s">
        <v>20</v>
      </c>
      <c r="D18">
        <v>0.5</v>
      </c>
      <c r="E18" t="s">
        <v>21</v>
      </c>
      <c r="F18" t="s">
        <v>47</v>
      </c>
    </row>
    <row r="19" spans="1:9">
      <c r="B19" t="s">
        <v>612</v>
      </c>
      <c r="D19">
        <v>50</v>
      </c>
      <c r="E19" t="s">
        <v>21</v>
      </c>
    </row>
    <row r="21" spans="1:9">
      <c r="A21" s="2" t="s">
        <v>26</v>
      </c>
      <c r="F21" s="22" t="s">
        <v>414</v>
      </c>
    </row>
    <row r="22" spans="1:9" ht="15.75" thickBot="1">
      <c r="B22" s="1" t="s">
        <v>1</v>
      </c>
      <c r="C22" s="1" t="s">
        <v>2</v>
      </c>
      <c r="D22" s="1" t="s">
        <v>3</v>
      </c>
      <c r="E22" s="1" t="s">
        <v>616</v>
      </c>
      <c r="F22" s="1" t="s">
        <v>4</v>
      </c>
      <c r="G22" s="1" t="s">
        <v>643</v>
      </c>
      <c r="H22" s="1" t="s">
        <v>3</v>
      </c>
      <c r="I22" s="1" t="s">
        <v>690</v>
      </c>
    </row>
    <row r="23" spans="1:9">
      <c r="A23" t="s">
        <v>481</v>
      </c>
      <c r="B23" t="s">
        <v>27</v>
      </c>
      <c r="C23">
        <f>$D$4*($D$5*1000)*D11*D14</f>
        <v>427.00000000000006</v>
      </c>
      <c r="D23" t="s">
        <v>48</v>
      </c>
      <c r="E23" t="s">
        <v>660</v>
      </c>
      <c r="F23" t="s">
        <v>645</v>
      </c>
      <c r="G23" s="29">
        <f>C23*2.5*1000</f>
        <v>1067500.0000000002</v>
      </c>
      <c r="H23" t="s">
        <v>644</v>
      </c>
      <c r="I23" s="59">
        <f>G23/($D$3*$D$4)</f>
        <v>533750.00000000012</v>
      </c>
    </row>
    <row r="24" spans="1:9">
      <c r="B24" t="s">
        <v>29</v>
      </c>
      <c r="C24">
        <f>D4*(D5*1000)*D11*(D15+D16)</f>
        <v>1525</v>
      </c>
      <c r="D24" t="s">
        <v>48</v>
      </c>
      <c r="E24" t="s">
        <v>638</v>
      </c>
      <c r="F24" t="s">
        <v>645</v>
      </c>
      <c r="G24" s="29">
        <f>C24*2.5*1000</f>
        <v>3812500</v>
      </c>
      <c r="H24" t="s">
        <v>644</v>
      </c>
      <c r="I24" s="59">
        <f t="shared" ref="I24:I29" si="0">G24/($D$3*$D$4)</f>
        <v>1906250</v>
      </c>
    </row>
    <row r="25" spans="1:9">
      <c r="B25" t="s">
        <v>601</v>
      </c>
      <c r="C25">
        <f>$D$4*($D$5*1000)*D11*2</f>
        <v>12200</v>
      </c>
      <c r="D25" t="s">
        <v>49</v>
      </c>
      <c r="E25" s="13" t="s">
        <v>668</v>
      </c>
      <c r="F25" s="4" t="s">
        <v>602</v>
      </c>
      <c r="G25" s="54">
        <f>C25</f>
        <v>12200</v>
      </c>
      <c r="H25" s="13" t="s">
        <v>49</v>
      </c>
      <c r="I25" s="59">
        <f t="shared" si="0"/>
        <v>6100</v>
      </c>
    </row>
    <row r="26" spans="1:9">
      <c r="B26" t="s">
        <v>30</v>
      </c>
      <c r="C26">
        <f>D4*(D5*1000)*D11</f>
        <v>6100</v>
      </c>
      <c r="D26" t="s">
        <v>49</v>
      </c>
      <c r="E26" s="13" t="s">
        <v>623</v>
      </c>
      <c r="F26" s="13"/>
      <c r="G26" s="54">
        <f>C26*0.25</f>
        <v>1525</v>
      </c>
      <c r="H26" s="13" t="s">
        <v>48</v>
      </c>
      <c r="I26" s="59">
        <f t="shared" si="0"/>
        <v>762.5</v>
      </c>
    </row>
    <row r="27" spans="1:9">
      <c r="B27" t="s">
        <v>31</v>
      </c>
      <c r="C27">
        <f>$D$4*($D$5*1000)*D11*D18</f>
        <v>3050</v>
      </c>
      <c r="D27" t="s">
        <v>48</v>
      </c>
      <c r="E27" s="13" t="s">
        <v>639</v>
      </c>
      <c r="F27" s="13"/>
      <c r="G27" s="54">
        <f>C27</f>
        <v>3050</v>
      </c>
      <c r="H27" s="13" t="s">
        <v>48</v>
      </c>
      <c r="I27" s="59">
        <f t="shared" si="0"/>
        <v>1525</v>
      </c>
    </row>
    <row r="28" spans="1:9">
      <c r="B28" t="s">
        <v>306</v>
      </c>
      <c r="C28">
        <f>2*$D$4*D5*1000</f>
        <v>4000</v>
      </c>
      <c r="D28" t="s">
        <v>21</v>
      </c>
      <c r="E28" s="13" t="s">
        <v>621</v>
      </c>
      <c r="F28" s="13"/>
      <c r="G28" s="54">
        <f>C28</f>
        <v>4000</v>
      </c>
      <c r="H28" s="13" t="s">
        <v>21</v>
      </c>
      <c r="I28" s="59">
        <f t="shared" si="0"/>
        <v>2000</v>
      </c>
    </row>
    <row r="29" spans="1:9">
      <c r="B29" t="s">
        <v>32</v>
      </c>
      <c r="C29">
        <f>$D$4*($D$5*1000)*D11*SUM(D14:D18)</f>
        <v>6527</v>
      </c>
      <c r="D29" t="s">
        <v>48</v>
      </c>
      <c r="E29" s="13" t="s">
        <v>699</v>
      </c>
      <c r="F29" s="5" t="s">
        <v>51</v>
      </c>
      <c r="G29" s="54">
        <f>C29</f>
        <v>6527</v>
      </c>
      <c r="H29" s="13" t="s">
        <v>48</v>
      </c>
      <c r="I29" s="59">
        <f t="shared" si="0"/>
        <v>3263.5</v>
      </c>
    </row>
    <row r="30" spans="1:9" ht="15.75" thickBot="1">
      <c r="A30" s="1"/>
      <c r="B30" s="1"/>
      <c r="C30" s="1"/>
      <c r="D30" s="1"/>
      <c r="E30" s="1"/>
      <c r="F30" s="22" t="s">
        <v>413</v>
      </c>
      <c r="G30" s="1"/>
      <c r="H30" s="1"/>
      <c r="I30" s="1" t="s">
        <v>689</v>
      </c>
    </row>
    <row r="31" spans="1:9">
      <c r="A31" t="s">
        <v>482</v>
      </c>
      <c r="B31" t="s">
        <v>27</v>
      </c>
      <c r="C31">
        <f>2*$D$3*($D$5*1000)*$D$9*D14</f>
        <v>42.000000000000007</v>
      </c>
      <c r="D31" t="s">
        <v>48</v>
      </c>
      <c r="E31" s="13" t="s">
        <v>660</v>
      </c>
      <c r="F31" s="13" t="s">
        <v>645</v>
      </c>
      <c r="G31" s="54">
        <f>C31*2.5*1000</f>
        <v>105000.00000000001</v>
      </c>
      <c r="H31" s="13" t="s">
        <v>644</v>
      </c>
      <c r="I31" s="59">
        <f>G31/(2*$D$3)</f>
        <v>52500.000000000007</v>
      </c>
    </row>
    <row r="32" spans="1:9">
      <c r="B32" t="s">
        <v>29</v>
      </c>
      <c r="C32">
        <f>2*$D$3*($D$5*1000)*$D$9*(D15+D16)</f>
        <v>150</v>
      </c>
      <c r="D32" t="s">
        <v>48</v>
      </c>
      <c r="E32" s="13" t="s">
        <v>638</v>
      </c>
      <c r="F32" s="13" t="s">
        <v>645</v>
      </c>
      <c r="G32" s="54">
        <f>C32*2.5*1000</f>
        <v>375000</v>
      </c>
      <c r="H32" s="13" t="s">
        <v>644</v>
      </c>
      <c r="I32" s="59">
        <f t="shared" ref="I32:I36" si="1">G32/(2*$D$3)</f>
        <v>187500</v>
      </c>
    </row>
    <row r="33" spans="1:9">
      <c r="B33" t="s">
        <v>601</v>
      </c>
      <c r="C33">
        <f>2*$D$3*($D$5*1000)*$D$9*2</f>
        <v>1200</v>
      </c>
      <c r="D33" t="s">
        <v>49</v>
      </c>
      <c r="E33" s="13" t="s">
        <v>668</v>
      </c>
      <c r="F33" s="4" t="s">
        <v>602</v>
      </c>
      <c r="G33" s="54">
        <f>C33</f>
        <v>1200</v>
      </c>
      <c r="H33" s="13" t="s">
        <v>49</v>
      </c>
      <c r="I33" s="59">
        <f t="shared" si="1"/>
        <v>600</v>
      </c>
    </row>
    <row r="34" spans="1:9">
      <c r="B34" t="s">
        <v>30</v>
      </c>
      <c r="C34">
        <f>2*$D$3*($D$5*1000)*$D$9</f>
        <v>600</v>
      </c>
      <c r="D34" t="s">
        <v>49</v>
      </c>
      <c r="E34" s="13" t="s">
        <v>623</v>
      </c>
      <c r="F34" s="13"/>
      <c r="G34" s="54">
        <f>C34*0.25</f>
        <v>150</v>
      </c>
      <c r="H34" s="13" t="s">
        <v>48</v>
      </c>
      <c r="I34" s="59">
        <f t="shared" si="1"/>
        <v>75</v>
      </c>
    </row>
    <row r="35" spans="1:9">
      <c r="B35" t="s">
        <v>31</v>
      </c>
      <c r="C35">
        <f>2*$D$3*($D$5*1000)*$D$9*D18</f>
        <v>300</v>
      </c>
      <c r="D35" t="s">
        <v>48</v>
      </c>
      <c r="E35" s="13" t="s">
        <v>639</v>
      </c>
      <c r="F35" s="13"/>
      <c r="G35" s="54">
        <f>C35</f>
        <v>300</v>
      </c>
      <c r="H35" s="13" t="s">
        <v>48</v>
      </c>
      <c r="I35" s="59">
        <f t="shared" si="1"/>
        <v>150</v>
      </c>
    </row>
    <row r="36" spans="1:9">
      <c r="B36" t="s">
        <v>32</v>
      </c>
      <c r="C36">
        <f>2*$D$3*($D$5*1000)*$D$9*SUM(D14:D18)</f>
        <v>642</v>
      </c>
      <c r="D36" t="s">
        <v>48</v>
      </c>
      <c r="E36" s="13" t="s">
        <v>699</v>
      </c>
      <c r="F36" s="5" t="s">
        <v>51</v>
      </c>
      <c r="G36" s="13">
        <f>C36</f>
        <v>642</v>
      </c>
      <c r="H36" s="13" t="s">
        <v>48</v>
      </c>
      <c r="I36" s="59">
        <f t="shared" si="1"/>
        <v>321</v>
      </c>
    </row>
    <row r="37" spans="1:9">
      <c r="E37" s="13"/>
      <c r="F37" s="22" t="s">
        <v>414</v>
      </c>
      <c r="G37" s="13"/>
      <c r="H37" s="13"/>
    </row>
    <row r="38" spans="1:9">
      <c r="A38" t="s">
        <v>402</v>
      </c>
      <c r="B38" t="s">
        <v>27</v>
      </c>
      <c r="C38">
        <f>($D$5*1000)*$D$12*D14</f>
        <v>56.000000000000007</v>
      </c>
      <c r="D38" t="s">
        <v>48</v>
      </c>
      <c r="E38" s="13" t="s">
        <v>660</v>
      </c>
      <c r="F38" s="13" t="s">
        <v>645</v>
      </c>
      <c r="G38" s="54">
        <f>C38*2.5*1000</f>
        <v>140000.00000000003</v>
      </c>
      <c r="H38" s="13" t="s">
        <v>644</v>
      </c>
    </row>
    <row r="39" spans="1:9">
      <c r="B39" t="s">
        <v>29</v>
      </c>
      <c r="C39">
        <f>($D$5*1000)*$D$12*(D15+D16)</f>
        <v>200</v>
      </c>
      <c r="D39" t="s">
        <v>48</v>
      </c>
      <c r="E39" s="13" t="s">
        <v>638</v>
      </c>
      <c r="F39" s="13" t="s">
        <v>645</v>
      </c>
      <c r="G39" s="54">
        <f>C39*2.5*1000</f>
        <v>500000</v>
      </c>
      <c r="H39" s="13" t="s">
        <v>644</v>
      </c>
    </row>
    <row r="40" spans="1:9">
      <c r="B40" t="s">
        <v>601</v>
      </c>
      <c r="C40">
        <f>($D$5*1000)*$D$12*2</f>
        <v>1600</v>
      </c>
      <c r="D40" t="s">
        <v>49</v>
      </c>
      <c r="E40" s="13" t="s">
        <v>668</v>
      </c>
      <c r="F40" s="4" t="s">
        <v>602</v>
      </c>
      <c r="G40" s="54">
        <f>C40</f>
        <v>1600</v>
      </c>
      <c r="H40" s="13" t="s">
        <v>49</v>
      </c>
    </row>
    <row r="41" spans="1:9">
      <c r="B41" t="s">
        <v>30</v>
      </c>
      <c r="C41">
        <f>($D$5*1000)*$D$12</f>
        <v>800</v>
      </c>
      <c r="D41" t="s">
        <v>49</v>
      </c>
      <c r="E41" t="s">
        <v>623</v>
      </c>
      <c r="G41" s="29">
        <f>C41*0.25</f>
        <v>200</v>
      </c>
      <c r="H41" t="s">
        <v>48</v>
      </c>
    </row>
    <row r="42" spans="1:9">
      <c r="B42" t="s">
        <v>31</v>
      </c>
      <c r="C42">
        <f>($D$5*1000)*$D$12*D18</f>
        <v>400</v>
      </c>
      <c r="D42" t="s">
        <v>48</v>
      </c>
      <c r="E42" t="s">
        <v>639</v>
      </c>
      <c r="G42" s="29">
        <f>C42</f>
        <v>400</v>
      </c>
      <c r="H42" t="s">
        <v>48</v>
      </c>
    </row>
    <row r="43" spans="1:9">
      <c r="B43" t="s">
        <v>32</v>
      </c>
      <c r="C43">
        <f>($D$5*1000)*$D$12*SUM(D14:D18)</f>
        <v>856</v>
      </c>
      <c r="D43" t="s">
        <v>48</v>
      </c>
      <c r="E43" t="s">
        <v>699</v>
      </c>
      <c r="F43" s="5" t="s">
        <v>51</v>
      </c>
      <c r="G43">
        <f>C43</f>
        <v>856</v>
      </c>
      <c r="H43" t="s">
        <v>48</v>
      </c>
    </row>
    <row r="45" spans="1:9">
      <c r="A45" t="s">
        <v>610</v>
      </c>
      <c r="B45" t="s">
        <v>614</v>
      </c>
      <c r="C45">
        <f>D5*1000/D19</f>
        <v>20</v>
      </c>
      <c r="D45" t="s">
        <v>393</v>
      </c>
      <c r="E45" t="s">
        <v>624</v>
      </c>
      <c r="F45" s="13" t="s">
        <v>686</v>
      </c>
      <c r="G45">
        <f>C45/(6/15)</f>
        <v>50</v>
      </c>
      <c r="H45" t="s">
        <v>393</v>
      </c>
    </row>
    <row r="47" spans="1:9">
      <c r="A47" s="89"/>
    </row>
    <row r="48" spans="1:9">
      <c r="A48" s="87"/>
    </row>
  </sheetData>
  <pageMargins left="0.7" right="0.7" top="0.75" bottom="0.75" header="0.3" footer="0.3"/>
  <pageSetup paperSize="9"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6">
    <tabColor theme="6"/>
  </sheetPr>
  <dimension ref="A1:J47"/>
  <sheetViews>
    <sheetView zoomScale="85" zoomScaleNormal="85" workbookViewId="0">
      <selection activeCell="E37" sqref="E37"/>
    </sheetView>
  </sheetViews>
  <sheetFormatPr defaultRowHeight="15"/>
  <cols>
    <col min="1" max="1" width="20.28515625" bestFit="1" customWidth="1"/>
    <col min="2" max="2" width="52.85546875" bestFit="1" customWidth="1"/>
    <col min="3" max="3" width="6.7109375" bestFit="1" customWidth="1"/>
    <col min="4" max="4" width="8.28515625" bestFit="1" customWidth="1"/>
    <col min="5" max="5" width="53.42578125" customWidth="1"/>
    <col min="6" max="6" width="19.28515625" bestFit="1" customWidth="1"/>
    <col min="7" max="7" width="30.5703125" customWidth="1"/>
    <col min="8" max="8" width="12.42578125" bestFit="1" customWidth="1"/>
    <col min="9" max="9" width="8.28515625" bestFit="1" customWidth="1"/>
    <col min="10" max="10" width="19.85546875" bestFit="1" customWidth="1"/>
    <col min="11" max="11" width="51.5703125" customWidth="1"/>
  </cols>
  <sheetData>
    <row r="1" spans="1:6">
      <c r="A1" s="2" t="s">
        <v>0</v>
      </c>
    </row>
    <row r="2" spans="1:6" ht="15.75" thickBot="1">
      <c r="B2" s="1" t="s">
        <v>1</v>
      </c>
      <c r="C2" s="1"/>
      <c r="D2" s="1" t="s">
        <v>2</v>
      </c>
      <c r="E2" s="1" t="s">
        <v>3</v>
      </c>
      <c r="F2" s="1" t="s">
        <v>4</v>
      </c>
    </row>
    <row r="3" spans="1:6">
      <c r="B3" t="s">
        <v>6</v>
      </c>
      <c r="D3">
        <v>1</v>
      </c>
      <c r="E3" t="s">
        <v>5</v>
      </c>
      <c r="F3" t="s">
        <v>12</v>
      </c>
    </row>
    <row r="4" spans="1:6">
      <c r="B4" t="s">
        <v>400</v>
      </c>
      <c r="D4">
        <v>2</v>
      </c>
      <c r="E4" t="s">
        <v>5</v>
      </c>
      <c r="F4" t="s">
        <v>52</v>
      </c>
    </row>
    <row r="5" spans="1:6">
      <c r="B5" t="s">
        <v>9</v>
      </c>
      <c r="D5">
        <v>1</v>
      </c>
      <c r="E5" t="s">
        <v>10</v>
      </c>
    </row>
    <row r="7" spans="1:6">
      <c r="A7" s="2" t="s">
        <v>11</v>
      </c>
    </row>
    <row r="8" spans="1:6" ht="15.75" thickBot="1">
      <c r="B8" s="1" t="s">
        <v>1</v>
      </c>
      <c r="C8" s="1"/>
      <c r="D8" s="1" t="s">
        <v>2</v>
      </c>
      <c r="E8" s="1" t="s">
        <v>3</v>
      </c>
      <c r="F8" s="1" t="s">
        <v>4</v>
      </c>
    </row>
    <row r="9" spans="1:6">
      <c r="B9" t="s">
        <v>403</v>
      </c>
      <c r="D9">
        <v>0.3</v>
      </c>
      <c r="E9" t="s">
        <v>21</v>
      </c>
      <c r="F9" t="s">
        <v>101</v>
      </c>
    </row>
    <row r="10" spans="1:6">
      <c r="B10" t="s">
        <v>14</v>
      </c>
      <c r="D10">
        <v>25</v>
      </c>
      <c r="E10" t="s">
        <v>22</v>
      </c>
    </row>
    <row r="11" spans="1:6">
      <c r="B11" t="s">
        <v>15</v>
      </c>
      <c r="D11">
        <f>2.75+2*0.15</f>
        <v>3.05</v>
      </c>
      <c r="E11" t="s">
        <v>21</v>
      </c>
    </row>
    <row r="12" spans="1:6">
      <c r="B12" t="s">
        <v>404</v>
      </c>
      <c r="D12">
        <v>0.8</v>
      </c>
      <c r="E12" t="s">
        <v>21</v>
      </c>
    </row>
    <row r="13" spans="1:6">
      <c r="B13" t="s">
        <v>16</v>
      </c>
      <c r="D13">
        <v>7.0000000000000007E-2</v>
      </c>
      <c r="E13" t="s">
        <v>21</v>
      </c>
    </row>
    <row r="14" spans="1:6">
      <c r="B14" t="s">
        <v>17</v>
      </c>
      <c r="D14">
        <v>7.0000000000000007E-2</v>
      </c>
      <c r="E14" t="s">
        <v>21</v>
      </c>
      <c r="F14" t="s">
        <v>45</v>
      </c>
    </row>
    <row r="15" spans="1:6">
      <c r="B15" t="s">
        <v>18</v>
      </c>
      <c r="D15">
        <v>0.18</v>
      </c>
      <c r="E15" t="s">
        <v>21</v>
      </c>
      <c r="F15" t="s">
        <v>45</v>
      </c>
    </row>
    <row r="16" spans="1:6">
      <c r="B16" t="s">
        <v>19</v>
      </c>
      <c r="D16">
        <v>0.25</v>
      </c>
      <c r="E16" t="s">
        <v>21</v>
      </c>
      <c r="F16" t="s">
        <v>46</v>
      </c>
    </row>
    <row r="17" spans="1:10">
      <c r="B17" t="s">
        <v>20</v>
      </c>
      <c r="D17">
        <v>0.5</v>
      </c>
      <c r="E17" t="s">
        <v>21</v>
      </c>
      <c r="F17" t="s">
        <v>47</v>
      </c>
    </row>
    <row r="20" spans="1:10">
      <c r="A20" s="2" t="s">
        <v>26</v>
      </c>
      <c r="G20" s="22" t="s">
        <v>414</v>
      </c>
    </row>
    <row r="21" spans="1:10" ht="15.75" thickBot="1">
      <c r="B21" s="1" t="s">
        <v>1</v>
      </c>
      <c r="C21" s="1" t="s">
        <v>2</v>
      </c>
      <c r="D21" s="1" t="s">
        <v>3</v>
      </c>
      <c r="E21" s="1" t="s">
        <v>4</v>
      </c>
      <c r="F21" s="1" t="s">
        <v>616</v>
      </c>
      <c r="G21" s="1" t="s">
        <v>4</v>
      </c>
      <c r="H21" s="1" t="s">
        <v>643</v>
      </c>
      <c r="I21" s="1" t="s">
        <v>3</v>
      </c>
      <c r="J21" s="1" t="s">
        <v>690</v>
      </c>
    </row>
    <row r="22" spans="1:10">
      <c r="A22" t="s">
        <v>411</v>
      </c>
      <c r="B22" t="s">
        <v>27</v>
      </c>
      <c r="C22">
        <f>$D$3*$D$4*($D$5*1000)*D11*D13</f>
        <v>427.00000000000006</v>
      </c>
      <c r="D22" t="s">
        <v>48</v>
      </c>
      <c r="F22" t="s">
        <v>660</v>
      </c>
      <c r="G22" s="4" t="s">
        <v>645</v>
      </c>
      <c r="H22" s="29">
        <f>C22*2.5*1000</f>
        <v>1067500.0000000002</v>
      </c>
      <c r="I22" t="s">
        <v>644</v>
      </c>
      <c r="J22" s="59">
        <f t="shared" ref="J22:J27" si="0">H22/($D$3*$D$4)</f>
        <v>533750.00000000012</v>
      </c>
    </row>
    <row r="23" spans="1:10">
      <c r="B23" t="s">
        <v>29</v>
      </c>
      <c r="C23">
        <f>D3*D4*(D5*1000)*D11*(D14+D15)</f>
        <v>1525</v>
      </c>
      <c r="D23" t="s">
        <v>48</v>
      </c>
      <c r="E23" s="4" t="s">
        <v>50</v>
      </c>
      <c r="F23" t="s">
        <v>638</v>
      </c>
      <c r="G23" s="4" t="s">
        <v>645</v>
      </c>
      <c r="H23" s="29">
        <f>C23*2.5*1000</f>
        <v>3812500</v>
      </c>
      <c r="I23" t="s">
        <v>644</v>
      </c>
      <c r="J23" s="59">
        <f t="shared" si="0"/>
        <v>1906250</v>
      </c>
    </row>
    <row r="24" spans="1:10">
      <c r="B24" t="s">
        <v>601</v>
      </c>
      <c r="C24">
        <f>$D$3*$D$4*($D$5*1000)*D11*2</f>
        <v>12200</v>
      </c>
      <c r="D24" t="s">
        <v>49</v>
      </c>
      <c r="F24" s="13" t="s">
        <v>668</v>
      </c>
      <c r="G24" s="4" t="s">
        <v>602</v>
      </c>
      <c r="H24" s="54">
        <f>C24</f>
        <v>12200</v>
      </c>
      <c r="I24" s="13" t="s">
        <v>49</v>
      </c>
      <c r="J24" s="59">
        <f t="shared" si="0"/>
        <v>6100</v>
      </c>
    </row>
    <row r="25" spans="1:10">
      <c r="B25" t="s">
        <v>30</v>
      </c>
      <c r="C25">
        <f>D3*D4*(D5*1000)*D11</f>
        <v>6100</v>
      </c>
      <c r="D25" t="s">
        <v>49</v>
      </c>
      <c r="E25" s="5"/>
      <c r="F25" s="13" t="s">
        <v>623</v>
      </c>
      <c r="G25" s="49"/>
      <c r="H25" s="54">
        <f>C25*0.25</f>
        <v>1525</v>
      </c>
      <c r="I25" s="13" t="s">
        <v>48</v>
      </c>
      <c r="J25" s="59">
        <f t="shared" si="0"/>
        <v>762.5</v>
      </c>
    </row>
    <row r="26" spans="1:10">
      <c r="B26" t="s">
        <v>31</v>
      </c>
      <c r="C26">
        <f>D3*$D$4*($D$5*1000)*D11*D17</f>
        <v>3050</v>
      </c>
      <c r="D26" t="s">
        <v>48</v>
      </c>
      <c r="E26" s="5"/>
      <c r="F26" s="13" t="s">
        <v>639</v>
      </c>
      <c r="G26" s="49"/>
      <c r="H26" s="54">
        <f>C26</f>
        <v>3050</v>
      </c>
      <c r="I26" s="13" t="s">
        <v>48</v>
      </c>
      <c r="J26" s="59">
        <f t="shared" si="0"/>
        <v>1525</v>
      </c>
    </row>
    <row r="27" spans="1:10">
      <c r="B27" t="s">
        <v>32</v>
      </c>
      <c r="C27">
        <f>D3*$D$4*($D$5*1000)*D11*SUM(D13:D17)</f>
        <v>6527</v>
      </c>
      <c r="D27" t="s">
        <v>48</v>
      </c>
      <c r="F27" s="13" t="s">
        <v>699</v>
      </c>
      <c r="G27" s="12" t="s">
        <v>51</v>
      </c>
      <c r="H27" s="30">
        <f>C27</f>
        <v>6527</v>
      </c>
      <c r="I27" s="13" t="s">
        <v>48</v>
      </c>
      <c r="J27" s="59">
        <f t="shared" si="0"/>
        <v>3263.5</v>
      </c>
    </row>
    <row r="28" spans="1:10">
      <c r="E28" s="5"/>
      <c r="F28" s="13"/>
      <c r="G28" s="49"/>
      <c r="H28" s="30"/>
      <c r="I28" s="13"/>
      <c r="J28" s="59"/>
    </row>
    <row r="29" spans="1:10">
      <c r="A29" t="s">
        <v>53</v>
      </c>
      <c r="B29" t="s">
        <v>53</v>
      </c>
      <c r="C29">
        <f>2*D3*(D5*1000)</f>
        <v>2000</v>
      </c>
      <c r="D29" t="s">
        <v>21</v>
      </c>
      <c r="F29" s="13" t="s">
        <v>621</v>
      </c>
      <c r="G29" s="4" t="s">
        <v>56</v>
      </c>
      <c r="H29" s="54">
        <f>C29</f>
        <v>2000</v>
      </c>
      <c r="I29" s="13" t="s">
        <v>21</v>
      </c>
      <c r="J29" s="59">
        <f>H29/($D$3*$D$4)</f>
        <v>1000</v>
      </c>
    </row>
    <row r="30" spans="1:10" ht="15.75" thickBot="1">
      <c r="A30" s="1"/>
      <c r="B30" s="1"/>
      <c r="C30" s="1"/>
      <c r="D30" s="1"/>
      <c r="E30" s="1"/>
      <c r="F30" s="1"/>
      <c r="G30" s="22" t="s">
        <v>413</v>
      </c>
      <c r="H30" s="1"/>
      <c r="I30" s="1"/>
      <c r="J30" s="1" t="s">
        <v>689</v>
      </c>
    </row>
    <row r="31" spans="1:10">
      <c r="A31" t="s">
        <v>410</v>
      </c>
      <c r="B31" t="s">
        <v>27</v>
      </c>
      <c r="C31">
        <f>2*$D$3*($D$5*1000)*$D$9*D13</f>
        <v>42.000000000000007</v>
      </c>
      <c r="D31" t="s">
        <v>48</v>
      </c>
      <c r="F31" s="13" t="s">
        <v>660</v>
      </c>
      <c r="G31" s="49" t="s">
        <v>645</v>
      </c>
      <c r="H31" s="54">
        <f>C31*2.5*1000</f>
        <v>105000.00000000001</v>
      </c>
      <c r="I31" s="13" t="s">
        <v>644</v>
      </c>
      <c r="J31" s="59">
        <f>H31/(2*$D$3)</f>
        <v>52500.000000000007</v>
      </c>
    </row>
    <row r="32" spans="1:10">
      <c r="B32" t="s">
        <v>29</v>
      </c>
      <c r="C32">
        <f>2*$D$3*($D$5*1000)*$D$9*(D14+D15)</f>
        <v>150</v>
      </c>
      <c r="D32" t="s">
        <v>48</v>
      </c>
      <c r="E32" s="4" t="s">
        <v>50</v>
      </c>
      <c r="F32" s="13" t="s">
        <v>638</v>
      </c>
      <c r="G32" s="49" t="s">
        <v>645</v>
      </c>
      <c r="H32" s="54">
        <f>C32*2.5*1000</f>
        <v>375000</v>
      </c>
      <c r="I32" s="13" t="s">
        <v>644</v>
      </c>
      <c r="J32" s="59">
        <f t="shared" ref="J32:J36" si="1">H32/(2*$D$3)</f>
        <v>187500</v>
      </c>
    </row>
    <row r="33" spans="1:10">
      <c r="B33" t="s">
        <v>601</v>
      </c>
      <c r="C33">
        <f>2*$D$3*($D$5*1000)*$D$9*2</f>
        <v>1200</v>
      </c>
      <c r="D33" t="s">
        <v>49</v>
      </c>
      <c r="F33" s="13" t="s">
        <v>668</v>
      </c>
      <c r="G33" s="4" t="s">
        <v>602</v>
      </c>
      <c r="H33" s="54">
        <f>C33</f>
        <v>1200</v>
      </c>
      <c r="I33" s="13" t="s">
        <v>49</v>
      </c>
      <c r="J33" s="59">
        <f t="shared" si="1"/>
        <v>600</v>
      </c>
    </row>
    <row r="34" spans="1:10">
      <c r="B34" t="s">
        <v>30</v>
      </c>
      <c r="C34">
        <f>2*$D$3*($D$5*1000)*$D$9</f>
        <v>600</v>
      </c>
      <c r="D34" t="s">
        <v>49</v>
      </c>
      <c r="E34" s="5"/>
      <c r="F34" s="13" t="s">
        <v>623</v>
      </c>
      <c r="G34" s="49"/>
      <c r="H34" s="54">
        <f>C34*0.25</f>
        <v>150</v>
      </c>
      <c r="I34" s="13" t="s">
        <v>48</v>
      </c>
      <c r="J34" s="59">
        <f t="shared" si="1"/>
        <v>75</v>
      </c>
    </row>
    <row r="35" spans="1:10">
      <c r="B35" t="s">
        <v>31</v>
      </c>
      <c r="C35">
        <f>2*$D$3*($D$5*1000)*$D$9*D17</f>
        <v>300</v>
      </c>
      <c r="D35" t="s">
        <v>48</v>
      </c>
      <c r="E35" s="5"/>
      <c r="F35" s="13" t="s">
        <v>639</v>
      </c>
      <c r="G35" s="49"/>
      <c r="H35" s="54">
        <f>C35</f>
        <v>300</v>
      </c>
      <c r="I35" s="13" t="s">
        <v>48</v>
      </c>
      <c r="J35" s="59">
        <f t="shared" si="1"/>
        <v>150</v>
      </c>
    </row>
    <row r="36" spans="1:10">
      <c r="B36" t="s">
        <v>32</v>
      </c>
      <c r="C36">
        <f>2*$D$3*($D$5*1000)*$D$9*SUM(D13:D17)</f>
        <v>642</v>
      </c>
      <c r="D36" t="s">
        <v>48</v>
      </c>
      <c r="F36" s="13" t="s">
        <v>699</v>
      </c>
      <c r="G36" s="12" t="s">
        <v>51</v>
      </c>
      <c r="H36" s="13">
        <f>C36</f>
        <v>642</v>
      </c>
      <c r="I36" s="13" t="s">
        <v>48</v>
      </c>
      <c r="J36" s="59">
        <f t="shared" si="1"/>
        <v>321</v>
      </c>
    </row>
    <row r="37" spans="1:10">
      <c r="F37" s="13"/>
      <c r="G37" s="49"/>
      <c r="H37" s="13"/>
      <c r="I37" s="13"/>
    </row>
    <row r="38" spans="1:10">
      <c r="A38" t="s">
        <v>402</v>
      </c>
      <c r="B38" t="s">
        <v>27</v>
      </c>
      <c r="C38">
        <f>$D$3*($D$4-1)*($D$5*1000)*D12*D13</f>
        <v>56.000000000000007</v>
      </c>
      <c r="D38" t="s">
        <v>48</v>
      </c>
      <c r="F38" s="13" t="s">
        <v>660</v>
      </c>
      <c r="G38" s="49" t="s">
        <v>645</v>
      </c>
      <c r="H38" s="54">
        <f>C38*2.5*1000</f>
        <v>140000.00000000003</v>
      </c>
      <c r="I38" s="13" t="s">
        <v>644</v>
      </c>
    </row>
    <row r="39" spans="1:10">
      <c r="B39" t="s">
        <v>29</v>
      </c>
      <c r="C39">
        <f>D3*(D4-1)*(D5*1000)*D12*(D14+D15)</f>
        <v>200</v>
      </c>
      <c r="D39" t="s">
        <v>48</v>
      </c>
      <c r="E39" s="4" t="s">
        <v>50</v>
      </c>
      <c r="F39" s="13" t="s">
        <v>638</v>
      </c>
      <c r="G39" s="49" t="s">
        <v>645</v>
      </c>
      <c r="H39" s="54">
        <f>C39*2.5*1000</f>
        <v>500000</v>
      </c>
      <c r="I39" s="13" t="s">
        <v>644</v>
      </c>
    </row>
    <row r="40" spans="1:10">
      <c r="B40" t="s">
        <v>601</v>
      </c>
      <c r="C40">
        <f>$D$3*($D$4-1)*($D$5*1000)*D12*2</f>
        <v>1600</v>
      </c>
      <c r="D40" t="s">
        <v>49</v>
      </c>
      <c r="F40" s="13" t="s">
        <v>668</v>
      </c>
      <c r="G40" s="4" t="s">
        <v>602</v>
      </c>
      <c r="H40" s="54">
        <f>C40</f>
        <v>1600</v>
      </c>
      <c r="I40" s="13" t="s">
        <v>49</v>
      </c>
    </row>
    <row r="41" spans="1:10">
      <c r="B41" t="s">
        <v>30</v>
      </c>
      <c r="C41">
        <f>D3*(D4-1)*(D5*1000)*D12</f>
        <v>800</v>
      </c>
      <c r="D41" t="s">
        <v>49</v>
      </c>
      <c r="E41" s="5"/>
      <c r="F41" t="s">
        <v>623</v>
      </c>
      <c r="G41" s="4"/>
      <c r="H41" s="29">
        <f>C41*0.25</f>
        <v>200</v>
      </c>
      <c r="I41" t="s">
        <v>48</v>
      </c>
    </row>
    <row r="42" spans="1:10">
      <c r="B42" t="s">
        <v>31</v>
      </c>
      <c r="C42">
        <f>D3*($D$4-1)*($D$5*1000)*D12*D17</f>
        <v>400</v>
      </c>
      <c r="D42" t="s">
        <v>48</v>
      </c>
      <c r="E42" s="5"/>
      <c r="F42" t="s">
        <v>639</v>
      </c>
      <c r="G42" s="4"/>
      <c r="H42" s="29">
        <f>C42</f>
        <v>400</v>
      </c>
      <c r="I42" t="s">
        <v>48</v>
      </c>
    </row>
    <row r="43" spans="1:10">
      <c r="B43" t="s">
        <v>32</v>
      </c>
      <c r="C43">
        <f>D3*($D$4-1)*($D$5*1000)*D12*SUM(D13:D17)</f>
        <v>856</v>
      </c>
      <c r="D43" t="s">
        <v>48</v>
      </c>
      <c r="F43" t="s">
        <v>699</v>
      </c>
      <c r="G43" s="12" t="s">
        <v>51</v>
      </c>
      <c r="H43">
        <f>C43</f>
        <v>856</v>
      </c>
      <c r="I43" t="s">
        <v>48</v>
      </c>
    </row>
    <row r="44" spans="1:10">
      <c r="A44" s="17"/>
      <c r="G44" s="4"/>
    </row>
    <row r="45" spans="1:10">
      <c r="A45" s="87"/>
      <c r="G45" s="4"/>
    </row>
    <row r="46" spans="1:10">
      <c r="A46" s="89"/>
      <c r="G46" s="4"/>
    </row>
    <row r="47" spans="1:10">
      <c r="A47" s="87"/>
    </row>
  </sheetData>
  <pageMargins left="0.7" right="0.7" top="0.75" bottom="0.75" header="0.3" footer="0.3"/>
  <pageSetup paperSize="9"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7">
    <tabColor theme="6"/>
  </sheetPr>
  <dimension ref="A1:I49"/>
  <sheetViews>
    <sheetView topLeftCell="A16" zoomScale="85" zoomScaleNormal="85" workbookViewId="0">
      <selection activeCell="A47" sqref="A47:A49"/>
    </sheetView>
  </sheetViews>
  <sheetFormatPr defaultColWidth="9.140625" defaultRowHeight="15"/>
  <cols>
    <col min="1" max="1" width="32.85546875" style="65" bestFit="1" customWidth="1"/>
    <col min="2" max="2" width="45.28515625" style="65" bestFit="1" customWidth="1"/>
    <col min="3" max="3" width="6.7109375" style="65" bestFit="1" customWidth="1"/>
    <col min="4" max="4" width="9" style="65" bestFit="1" customWidth="1"/>
    <col min="5" max="5" width="55.42578125" style="65" bestFit="1" customWidth="1"/>
    <col min="6" max="6" width="73.5703125" style="65" customWidth="1"/>
    <col min="7" max="7" width="12.42578125" style="71" bestFit="1" customWidth="1"/>
    <col min="8" max="8" width="8.28515625" style="71" bestFit="1" customWidth="1"/>
    <col min="9" max="9" width="12.42578125" style="71" bestFit="1" customWidth="1"/>
    <col min="10" max="10" width="40.42578125" style="65" customWidth="1"/>
    <col min="11" max="16384" width="9.140625" style="65"/>
  </cols>
  <sheetData>
    <row r="1" spans="1:9" s="63" customFormat="1">
      <c r="A1" s="2" t="s">
        <v>0</v>
      </c>
    </row>
    <row r="2" spans="1:9" s="63" customFormat="1" ht="15.75" thickBot="1">
      <c r="B2" s="64" t="s">
        <v>1</v>
      </c>
      <c r="C2" s="64"/>
      <c r="D2" s="64" t="s">
        <v>2</v>
      </c>
      <c r="E2" s="64" t="s">
        <v>3</v>
      </c>
      <c r="F2" s="64" t="s">
        <v>4</v>
      </c>
    </row>
    <row r="3" spans="1:9">
      <c r="B3" s="71" t="s">
        <v>426</v>
      </c>
      <c r="C3" s="71"/>
      <c r="D3" s="72">
        <v>1</v>
      </c>
      <c r="E3" s="72" t="s">
        <v>102</v>
      </c>
      <c r="F3" s="71" t="s">
        <v>425</v>
      </c>
      <c r="G3" s="65"/>
      <c r="H3" s="65"/>
      <c r="I3" s="65"/>
    </row>
    <row r="4" spans="1:9" s="63" customFormat="1">
      <c r="D4" s="67"/>
    </row>
    <row r="5" spans="1:9" s="63" customFormat="1">
      <c r="A5" s="2" t="s">
        <v>11</v>
      </c>
      <c r="D5" s="67"/>
    </row>
    <row r="6" spans="1:9" s="63" customFormat="1" ht="15.75" thickBot="1">
      <c r="B6" s="64" t="s">
        <v>1</v>
      </c>
      <c r="C6" s="64"/>
      <c r="D6" s="68" t="s">
        <v>2</v>
      </c>
      <c r="E6" s="64" t="s">
        <v>3</v>
      </c>
      <c r="F6" s="64" t="s">
        <v>4</v>
      </c>
    </row>
    <row r="7" spans="1:9">
      <c r="B7" s="71" t="s">
        <v>428</v>
      </c>
      <c r="C7" s="71"/>
      <c r="D7" s="72">
        <v>5</v>
      </c>
      <c r="E7" s="72" t="s">
        <v>102</v>
      </c>
      <c r="F7" s="71" t="s">
        <v>427</v>
      </c>
      <c r="I7" s="65"/>
    </row>
    <row r="8" spans="1:9">
      <c r="B8" s="71" t="s">
        <v>424</v>
      </c>
      <c r="C8" s="71"/>
      <c r="D8" s="72">
        <v>4.5999999999999996</v>
      </c>
      <c r="E8" s="72" t="s">
        <v>102</v>
      </c>
      <c r="F8" s="71" t="s">
        <v>103</v>
      </c>
      <c r="I8" s="65"/>
    </row>
    <row r="9" spans="1:9">
      <c r="B9" s="71" t="s">
        <v>423</v>
      </c>
      <c r="C9" s="71"/>
      <c r="D9" s="72">
        <v>0.8</v>
      </c>
      <c r="E9" s="72" t="s">
        <v>102</v>
      </c>
      <c r="F9" s="77" t="s">
        <v>422</v>
      </c>
      <c r="I9" s="65"/>
    </row>
    <row r="10" spans="1:9">
      <c r="B10" s="71" t="s">
        <v>104</v>
      </c>
      <c r="C10" s="71"/>
      <c r="D10" s="72">
        <v>0.05</v>
      </c>
      <c r="E10" s="72" t="s">
        <v>102</v>
      </c>
      <c r="F10" s="71" t="s">
        <v>421</v>
      </c>
      <c r="I10" s="65"/>
    </row>
    <row r="11" spans="1:9">
      <c r="B11" s="71" t="s">
        <v>106</v>
      </c>
      <c r="C11" s="71"/>
      <c r="D11" s="72">
        <v>0.05</v>
      </c>
      <c r="E11" s="72" t="s">
        <v>102</v>
      </c>
      <c r="F11" s="71" t="s">
        <v>107</v>
      </c>
      <c r="I11" s="65"/>
    </row>
    <row r="12" spans="1:9">
      <c r="B12" s="71" t="s">
        <v>420</v>
      </c>
      <c r="C12" s="71"/>
      <c r="D12" s="78">
        <v>3.0000000000000001E-3</v>
      </c>
      <c r="E12" s="72"/>
      <c r="F12" s="71" t="s">
        <v>110</v>
      </c>
      <c r="I12" s="65"/>
    </row>
    <row r="13" spans="1:9">
      <c r="B13" s="71" t="s">
        <v>111</v>
      </c>
      <c r="C13" s="71"/>
      <c r="D13" s="72">
        <v>7.8</v>
      </c>
      <c r="E13" s="72" t="s">
        <v>364</v>
      </c>
      <c r="F13" s="71" t="s">
        <v>113</v>
      </c>
      <c r="I13" s="65"/>
    </row>
    <row r="14" spans="1:9">
      <c r="B14" s="71" t="s">
        <v>429</v>
      </c>
      <c r="C14" s="71"/>
      <c r="D14" s="72">
        <v>2.1</v>
      </c>
      <c r="E14" s="72" t="s">
        <v>364</v>
      </c>
      <c r="F14" s="71" t="s">
        <v>419</v>
      </c>
      <c r="I14" s="65"/>
    </row>
    <row r="15" spans="1:9" s="63" customFormat="1">
      <c r="B15" s="71" t="s">
        <v>600</v>
      </c>
      <c r="D15" s="63">
        <f>100/1.6</f>
        <v>62.5</v>
      </c>
      <c r="E15" s="67" t="s">
        <v>123</v>
      </c>
      <c r="F15" s="63" t="s">
        <v>598</v>
      </c>
    </row>
    <row r="16" spans="1:9" s="63" customFormat="1">
      <c r="B16" s="63" t="s">
        <v>16</v>
      </c>
      <c r="D16" s="63">
        <v>7.0000000000000007E-2</v>
      </c>
      <c r="E16" s="63" t="s">
        <v>21</v>
      </c>
    </row>
    <row r="17" spans="1:9" s="63" customFormat="1">
      <c r="B17" s="63" t="s">
        <v>17</v>
      </c>
      <c r="D17" s="63">
        <v>7.0000000000000007E-2</v>
      </c>
      <c r="E17" s="63" t="s">
        <v>21</v>
      </c>
      <c r="F17" s="63" t="s">
        <v>45</v>
      </c>
    </row>
    <row r="18" spans="1:9" s="63" customFormat="1">
      <c r="B18" s="63" t="s">
        <v>18</v>
      </c>
      <c r="D18" s="63">
        <v>0.18</v>
      </c>
      <c r="E18" s="63" t="s">
        <v>21</v>
      </c>
      <c r="F18" s="63" t="s">
        <v>45</v>
      </c>
    </row>
    <row r="19" spans="1:9" s="63" customFormat="1">
      <c r="B19" s="63" t="s">
        <v>19</v>
      </c>
      <c r="D19" s="63">
        <v>0.25</v>
      </c>
      <c r="E19" s="63" t="s">
        <v>21</v>
      </c>
      <c r="F19" s="63" t="s">
        <v>46</v>
      </c>
    </row>
    <row r="20" spans="1:9" s="63" customFormat="1">
      <c r="B20" s="63" t="s">
        <v>20</v>
      </c>
      <c r="D20" s="63">
        <v>0.5</v>
      </c>
      <c r="E20" s="63" t="s">
        <v>21</v>
      </c>
      <c r="F20" s="63" t="s">
        <v>47</v>
      </c>
    </row>
    <row r="21" spans="1:9" ht="12.75">
      <c r="D21" s="66"/>
      <c r="E21" s="66"/>
      <c r="G21" s="65"/>
      <c r="H21" s="65"/>
      <c r="I21" s="65"/>
    </row>
    <row r="22" spans="1:9" s="63" customFormat="1">
      <c r="A22" s="2" t="s">
        <v>136</v>
      </c>
    </row>
    <row r="23" spans="1:9">
      <c r="B23" s="71" t="s">
        <v>430</v>
      </c>
      <c r="C23" s="71"/>
      <c r="D23" s="72">
        <f>D8+2*D9+SUM(D10:D11)</f>
        <v>6.2999999999999989</v>
      </c>
      <c r="E23" s="72" t="s">
        <v>102</v>
      </c>
      <c r="G23" s="65"/>
      <c r="H23" s="65"/>
      <c r="I23" s="65"/>
    </row>
    <row r="24" spans="1:9">
      <c r="B24" s="71" t="s">
        <v>431</v>
      </c>
      <c r="C24" s="71"/>
      <c r="D24" s="72">
        <f>D7+2*D9</f>
        <v>6.6</v>
      </c>
      <c r="E24" s="72" t="s">
        <v>102</v>
      </c>
      <c r="G24" s="65"/>
      <c r="H24" s="65"/>
      <c r="I24" s="65"/>
    </row>
    <row r="25" spans="1:9">
      <c r="B25" s="71" t="s">
        <v>432</v>
      </c>
      <c r="C25" s="71"/>
      <c r="D25" s="72">
        <f>D23*D24-(SUM(D8,D10:D11)*D7)</f>
        <v>18.079999999999995</v>
      </c>
      <c r="E25" s="72" t="s">
        <v>49</v>
      </c>
      <c r="G25" s="65"/>
      <c r="H25" s="65"/>
      <c r="I25" s="65"/>
    </row>
    <row r="26" spans="1:9">
      <c r="B26" s="63" t="s">
        <v>176</v>
      </c>
      <c r="C26" s="71"/>
      <c r="D26" s="72">
        <f>D15*D8</f>
        <v>287.5</v>
      </c>
      <c r="E26" s="72" t="s">
        <v>21</v>
      </c>
      <c r="G26" s="65"/>
      <c r="H26" s="65"/>
      <c r="I26" s="65"/>
    </row>
    <row r="27" spans="1:9">
      <c r="B27" s="71" t="s">
        <v>178</v>
      </c>
      <c r="C27" s="71"/>
      <c r="D27" s="76">
        <f>SQRT((D8)^2+(D26)^2)</f>
        <v>287.53679764510144</v>
      </c>
      <c r="E27" s="72" t="s">
        <v>21</v>
      </c>
      <c r="G27" s="65"/>
      <c r="H27" s="65"/>
      <c r="I27" s="65"/>
    </row>
    <row r="28" spans="1:9" s="63" customFormat="1">
      <c r="D28" s="67"/>
    </row>
    <row r="29" spans="1:9" s="63" customFormat="1">
      <c r="A29" s="2" t="s">
        <v>26</v>
      </c>
      <c r="C29" s="67"/>
    </row>
    <row r="30" spans="1:9" s="63" customFormat="1" ht="15.75" thickBot="1">
      <c r="B30" s="64" t="s">
        <v>1</v>
      </c>
      <c r="C30" s="68" t="s">
        <v>2</v>
      </c>
      <c r="D30" s="64" t="s">
        <v>3</v>
      </c>
      <c r="E30" s="64" t="s">
        <v>616</v>
      </c>
      <c r="F30" s="64" t="s">
        <v>4</v>
      </c>
      <c r="G30" s="64" t="s">
        <v>643</v>
      </c>
      <c r="H30" s="64" t="s">
        <v>3</v>
      </c>
    </row>
    <row r="31" spans="1:9">
      <c r="A31" s="72" t="s">
        <v>418</v>
      </c>
      <c r="B31" s="71" t="s">
        <v>27</v>
      </c>
      <c r="C31" s="72">
        <f>D10*D7*D3*D14</f>
        <v>0.52500000000000002</v>
      </c>
      <c r="D31" s="71" t="s">
        <v>159</v>
      </c>
      <c r="E31" s="72" t="s">
        <v>636</v>
      </c>
      <c r="F31" s="72"/>
      <c r="G31" s="72">
        <f>C31*1000</f>
        <v>525</v>
      </c>
      <c r="H31" s="72" t="s">
        <v>644</v>
      </c>
      <c r="I31" s="65"/>
    </row>
    <row r="32" spans="1:9">
      <c r="A32" s="82"/>
      <c r="B32" s="71" t="s">
        <v>164</v>
      </c>
      <c r="C32" s="72">
        <f>D11*D7*D3</f>
        <v>0.25</v>
      </c>
      <c r="D32" s="71" t="s">
        <v>48</v>
      </c>
      <c r="E32" s="13" t="s">
        <v>660</v>
      </c>
      <c r="F32" s="13" t="s">
        <v>645</v>
      </c>
      <c r="G32" s="54">
        <f>C32*2.5*1000</f>
        <v>625</v>
      </c>
      <c r="H32" s="13" t="s">
        <v>644</v>
      </c>
      <c r="I32" s="65"/>
    </row>
    <row r="33" spans="1:9">
      <c r="A33" s="82"/>
      <c r="B33" s="63" t="s">
        <v>601</v>
      </c>
      <c r="C33" s="63">
        <f>D7*D3</f>
        <v>5</v>
      </c>
      <c r="D33" s="63" t="s">
        <v>49</v>
      </c>
      <c r="E33" s="13" t="s">
        <v>668</v>
      </c>
      <c r="F33" s="63" t="s">
        <v>609</v>
      </c>
      <c r="G33" s="54">
        <f>C33</f>
        <v>5</v>
      </c>
      <c r="H33" s="13" t="s">
        <v>49</v>
      </c>
      <c r="I33" s="65"/>
    </row>
    <row r="34" spans="1:9">
      <c r="A34" s="72" t="s">
        <v>417</v>
      </c>
      <c r="B34" s="71" t="s">
        <v>96</v>
      </c>
      <c r="C34" s="74">
        <f>D25*D3*(1-D12)</f>
        <v>18.025759999999995</v>
      </c>
      <c r="D34" s="71" t="s">
        <v>48</v>
      </c>
      <c r="E34" s="72" t="s">
        <v>652</v>
      </c>
      <c r="F34" s="72"/>
      <c r="G34" s="81">
        <f>C34</f>
        <v>18.025759999999995</v>
      </c>
      <c r="H34" s="72" t="s">
        <v>48</v>
      </c>
      <c r="I34" s="65"/>
    </row>
    <row r="35" spans="1:9">
      <c r="A35" s="82"/>
      <c r="B35" s="71" t="s">
        <v>99</v>
      </c>
      <c r="C35" s="74">
        <f>D25*D3*D12*D13</f>
        <v>0.42307199999999984</v>
      </c>
      <c r="D35" s="71" t="s">
        <v>159</v>
      </c>
      <c r="E35" s="72" t="s">
        <v>620</v>
      </c>
      <c r="F35" s="13"/>
      <c r="G35" s="81">
        <f>C35*1000</f>
        <v>423.07199999999983</v>
      </c>
      <c r="H35" s="72" t="s">
        <v>644</v>
      </c>
      <c r="I35" s="65"/>
    </row>
    <row r="36" spans="1:9">
      <c r="A36" s="72"/>
      <c r="B36" s="73"/>
      <c r="C36" s="71"/>
      <c r="D36" s="71"/>
      <c r="E36" s="82"/>
      <c r="F36" s="72"/>
      <c r="G36" s="72"/>
      <c r="H36" s="72"/>
      <c r="I36" s="65"/>
    </row>
    <row r="37" spans="1:9">
      <c r="A37" s="72" t="s">
        <v>175</v>
      </c>
      <c r="B37" s="67" t="s">
        <v>597</v>
      </c>
      <c r="C37" s="69">
        <f>D3*(D7+2*D9)*(D8+D9)</f>
        <v>35.639999999999993</v>
      </c>
      <c r="D37" s="63" t="s">
        <v>48</v>
      </c>
      <c r="E37" s="13" t="s">
        <v>699</v>
      </c>
      <c r="F37" s="95" t="s">
        <v>51</v>
      </c>
      <c r="G37" s="30">
        <f>C37</f>
        <v>35.639999999999993</v>
      </c>
      <c r="H37" s="13" t="s">
        <v>48</v>
      </c>
      <c r="I37" s="65"/>
    </row>
    <row r="38" spans="1:9">
      <c r="A38" s="72"/>
      <c r="B38" s="63" t="s">
        <v>174</v>
      </c>
      <c r="C38" s="69">
        <f>2*(D26*D8*0.5*D7)</f>
        <v>6612.5</v>
      </c>
      <c r="D38" s="63" t="s">
        <v>48</v>
      </c>
      <c r="E38" s="13" t="s">
        <v>699</v>
      </c>
      <c r="F38" s="95" t="s">
        <v>51</v>
      </c>
      <c r="G38" s="30">
        <f>C38</f>
        <v>6612.5</v>
      </c>
      <c r="H38" s="13" t="s">
        <v>48</v>
      </c>
      <c r="I38" s="65"/>
    </row>
    <row r="39" spans="1:9">
      <c r="A39" s="72"/>
      <c r="B39" s="71"/>
      <c r="C39" s="71"/>
      <c r="D39" s="71"/>
      <c r="E39" s="72"/>
      <c r="F39" s="71"/>
      <c r="G39" s="72"/>
      <c r="H39" s="72"/>
      <c r="I39" s="65"/>
    </row>
    <row r="40" spans="1:9">
      <c r="A40" s="72" t="s">
        <v>599</v>
      </c>
      <c r="B40" s="71" t="s">
        <v>27</v>
      </c>
      <c r="C40" s="75">
        <f>2*($D$7*$D$27*D16)*D14</f>
        <v>422.67909253829919</v>
      </c>
      <c r="D40" s="71" t="s">
        <v>159</v>
      </c>
      <c r="E40" s="72" t="s">
        <v>636</v>
      </c>
      <c r="F40" s="72"/>
      <c r="G40" s="83">
        <f>C40*1000</f>
        <v>422679.09253829921</v>
      </c>
      <c r="H40" s="72" t="s">
        <v>644</v>
      </c>
      <c r="I40" s="65"/>
    </row>
    <row r="41" spans="1:9">
      <c r="A41" s="72"/>
      <c r="B41" s="71" t="s">
        <v>29</v>
      </c>
      <c r="C41" s="75">
        <f>2*($D$7*$D$27*(D17+D18))</f>
        <v>718.84199411275358</v>
      </c>
      <c r="D41" s="71" t="s">
        <v>48</v>
      </c>
      <c r="E41" s="13" t="s">
        <v>636</v>
      </c>
      <c r="F41" s="13" t="s">
        <v>645</v>
      </c>
      <c r="G41" s="54">
        <f>C41*2.5*1000</f>
        <v>1797104.985281884</v>
      </c>
      <c r="H41" s="13" t="s">
        <v>644</v>
      </c>
      <c r="I41" s="65"/>
    </row>
    <row r="42" spans="1:9">
      <c r="A42" s="72"/>
      <c r="B42" s="63" t="s">
        <v>601</v>
      </c>
      <c r="C42" s="70">
        <f>2*($D$7*$D$27)*2</f>
        <v>5750.7359529020287</v>
      </c>
      <c r="D42" s="63" t="s">
        <v>49</v>
      </c>
      <c r="E42" s="13" t="s">
        <v>668</v>
      </c>
      <c r="F42" s="63" t="s">
        <v>602</v>
      </c>
      <c r="G42" s="54">
        <f>C42</f>
        <v>5750.7359529020287</v>
      </c>
      <c r="H42" s="13" t="s">
        <v>49</v>
      </c>
      <c r="I42" s="65"/>
    </row>
    <row r="43" spans="1:9">
      <c r="A43" s="72"/>
      <c r="B43" s="71" t="s">
        <v>30</v>
      </c>
      <c r="C43" s="75">
        <f>2*($D$7*$D$27)</f>
        <v>2875.3679764510143</v>
      </c>
      <c r="D43" s="71" t="s">
        <v>49</v>
      </c>
      <c r="E43" t="s">
        <v>623</v>
      </c>
      <c r="F43"/>
      <c r="G43" s="29">
        <f>C43*0.25</f>
        <v>718.84199411275358</v>
      </c>
      <c r="H43" t="s">
        <v>48</v>
      </c>
      <c r="I43" s="65"/>
    </row>
    <row r="44" spans="1:9">
      <c r="A44" s="72"/>
      <c r="B44" s="71" t="s">
        <v>31</v>
      </c>
      <c r="C44" s="75">
        <f>2*($D$7*$D$27*D20)</f>
        <v>1437.6839882255072</v>
      </c>
      <c r="D44" s="71" t="s">
        <v>48</v>
      </c>
      <c r="E44" t="s">
        <v>639</v>
      </c>
      <c r="F44"/>
      <c r="G44" s="29">
        <f>C44</f>
        <v>1437.6839882255072</v>
      </c>
      <c r="H44" t="s">
        <v>48</v>
      </c>
      <c r="I44" s="65"/>
    </row>
    <row r="45" spans="1:9">
      <c r="A45" s="92"/>
      <c r="B45" s="71"/>
      <c r="C45" s="71"/>
      <c r="D45" s="71"/>
      <c r="E45" s="71"/>
      <c r="F45" s="71"/>
    </row>
    <row r="46" spans="1:9">
      <c r="A46" s="93"/>
      <c r="B46" s="71"/>
      <c r="C46" s="71"/>
      <c r="D46" s="71"/>
      <c r="E46" s="71"/>
      <c r="F46" s="71"/>
    </row>
    <row r="47" spans="1:9">
      <c r="A47" s="89"/>
      <c r="B47" s="71"/>
      <c r="C47" s="71"/>
      <c r="D47" s="71"/>
      <c r="E47" s="71"/>
      <c r="F47" s="71"/>
    </row>
    <row r="48" spans="1:9">
      <c r="A48" s="86"/>
    </row>
    <row r="49" spans="1:1">
      <c r="A49" s="94"/>
    </row>
  </sheetData>
  <pageMargins left="0.7" right="0.7" top="0.75" bottom="0.75" header="0.3" footer="0.3"/>
  <pageSetup paperSize="9" orientation="portrait" r:id="rId1"/>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8">
    <tabColor theme="6"/>
  </sheetPr>
  <dimension ref="A1:H62"/>
  <sheetViews>
    <sheetView topLeftCell="A19" zoomScale="70" zoomScaleNormal="70" workbookViewId="0">
      <selection activeCell="A60" sqref="A60:A63"/>
    </sheetView>
  </sheetViews>
  <sheetFormatPr defaultRowHeight="15"/>
  <cols>
    <col min="1" max="1" width="20.28515625" bestFit="1" customWidth="1"/>
    <col min="2" max="2" width="52.85546875" bestFit="1" customWidth="1"/>
    <col min="3" max="3" width="33.42578125" customWidth="1"/>
    <col min="4" max="4" width="9.5703125" bestFit="1" customWidth="1"/>
    <col min="5" max="5" width="51.5703125" bestFit="1" customWidth="1"/>
    <col min="6" max="6" width="78.5703125" customWidth="1"/>
    <col min="7" max="7" width="15.85546875" bestFit="1" customWidth="1"/>
    <col min="8" max="8" width="11" bestFit="1" customWidth="1"/>
    <col min="9" max="9" width="15.42578125" bestFit="1" customWidth="1"/>
    <col min="10" max="10" width="55.28515625" customWidth="1"/>
  </cols>
  <sheetData>
    <row r="1" spans="1:6">
      <c r="A1" s="2" t="s">
        <v>0</v>
      </c>
    </row>
    <row r="2" spans="1:6" ht="15.75" thickBot="1">
      <c r="B2" s="1" t="s">
        <v>1</v>
      </c>
      <c r="C2" s="1"/>
      <c r="D2" s="1" t="s">
        <v>2</v>
      </c>
      <c r="E2" s="1" t="s">
        <v>3</v>
      </c>
      <c r="F2" s="1" t="s">
        <v>4</v>
      </c>
    </row>
    <row r="3" spans="1:6">
      <c r="B3" t="s">
        <v>7</v>
      </c>
      <c r="D3">
        <v>1</v>
      </c>
      <c r="E3" t="s">
        <v>5</v>
      </c>
      <c r="F3" t="s">
        <v>52</v>
      </c>
    </row>
    <row r="4" spans="1:6">
      <c r="B4" t="s">
        <v>219</v>
      </c>
      <c r="D4">
        <v>1</v>
      </c>
      <c r="E4" t="s">
        <v>5</v>
      </c>
      <c r="F4" t="s">
        <v>220</v>
      </c>
    </row>
    <row r="6" spans="1:6">
      <c r="A6" s="2" t="s">
        <v>11</v>
      </c>
    </row>
    <row r="7" spans="1:6" ht="15.75" thickBot="1">
      <c r="B7" s="1" t="s">
        <v>1</v>
      </c>
      <c r="C7" s="1"/>
      <c r="D7" s="1" t="s">
        <v>2</v>
      </c>
      <c r="E7" s="1" t="s">
        <v>3</v>
      </c>
      <c r="F7" s="1" t="s">
        <v>4</v>
      </c>
    </row>
    <row r="8" spans="1:6">
      <c r="B8" t="s">
        <v>13</v>
      </c>
      <c r="D8">
        <v>1.1000000000000001</v>
      </c>
      <c r="E8" t="s">
        <v>21</v>
      </c>
      <c r="F8" t="s">
        <v>44</v>
      </c>
    </row>
    <row r="9" spans="1:6">
      <c r="B9" t="s">
        <v>200</v>
      </c>
      <c r="D9">
        <v>15</v>
      </c>
      <c r="E9" t="s">
        <v>21</v>
      </c>
    </row>
    <row r="10" spans="1:6">
      <c r="B10" t="s">
        <v>201</v>
      </c>
      <c r="D10">
        <v>20</v>
      </c>
      <c r="E10" t="s">
        <v>21</v>
      </c>
    </row>
    <row r="11" spans="1:6">
      <c r="B11" t="s">
        <v>202</v>
      </c>
      <c r="D11">
        <v>0.2</v>
      </c>
      <c r="E11" t="s">
        <v>21</v>
      </c>
    </row>
    <row r="12" spans="1:6">
      <c r="B12" t="s">
        <v>203</v>
      </c>
      <c r="D12">
        <v>0.1</v>
      </c>
      <c r="E12" t="s">
        <v>21</v>
      </c>
    </row>
    <row r="13" spans="1:6">
      <c r="B13" t="s">
        <v>205</v>
      </c>
      <c r="D13">
        <v>0.22</v>
      </c>
      <c r="E13" t="s">
        <v>21</v>
      </c>
    </row>
    <row r="14" spans="1:6">
      <c r="B14" t="s">
        <v>206</v>
      </c>
      <c r="D14">
        <v>0.4</v>
      </c>
      <c r="E14" t="s">
        <v>21</v>
      </c>
    </row>
    <row r="16" spans="1:6">
      <c r="B16" t="s">
        <v>215</v>
      </c>
      <c r="D16">
        <v>4</v>
      </c>
      <c r="E16" t="s">
        <v>21</v>
      </c>
    </row>
    <row r="17" spans="1:6">
      <c r="B17" t="s">
        <v>216</v>
      </c>
      <c r="D17">
        <v>4.5</v>
      </c>
      <c r="E17" t="s">
        <v>21</v>
      </c>
    </row>
    <row r="18" spans="1:6">
      <c r="B18" t="s">
        <v>217</v>
      </c>
      <c r="D18">
        <v>10</v>
      </c>
      <c r="E18" t="s">
        <v>21</v>
      </c>
    </row>
    <row r="20" spans="1:6">
      <c r="B20" t="s">
        <v>222</v>
      </c>
      <c r="D20">
        <v>2.5000000000000001E-2</v>
      </c>
      <c r="E20" t="s">
        <v>21</v>
      </c>
    </row>
    <row r="21" spans="1:6">
      <c r="B21" t="s">
        <v>17</v>
      </c>
      <c r="D21">
        <v>0.05</v>
      </c>
      <c r="E21" t="s">
        <v>21</v>
      </c>
    </row>
    <row r="22" spans="1:6">
      <c r="B22" t="s">
        <v>18</v>
      </c>
      <c r="D22">
        <v>0.08</v>
      </c>
      <c r="E22" t="s">
        <v>21</v>
      </c>
    </row>
    <row r="23" spans="1:6">
      <c r="B23" t="s">
        <v>19</v>
      </c>
      <c r="D23">
        <v>0.25</v>
      </c>
      <c r="E23" t="s">
        <v>21</v>
      </c>
    </row>
    <row r="24" spans="1:6">
      <c r="B24" t="s">
        <v>20</v>
      </c>
      <c r="D24">
        <v>0.5</v>
      </c>
      <c r="E24" t="s">
        <v>21</v>
      </c>
    </row>
    <row r="26" spans="1:6">
      <c r="A26" s="2" t="s">
        <v>136</v>
      </c>
    </row>
    <row r="27" spans="1:6">
      <c r="B27" t="s">
        <v>207</v>
      </c>
      <c r="D27" s="9">
        <f>PI()*(D9-D12-D14)^2</f>
        <v>660.51985541725401</v>
      </c>
      <c r="E27" t="s">
        <v>49</v>
      </c>
    </row>
    <row r="28" spans="1:6">
      <c r="B28" t="s">
        <v>208</v>
      </c>
      <c r="D28">
        <f>D10-D9</f>
        <v>5</v>
      </c>
      <c r="E28" t="s">
        <v>21</v>
      </c>
    </row>
    <row r="29" spans="1:6">
      <c r="B29" t="s">
        <v>209</v>
      </c>
      <c r="D29" s="9">
        <f>PI()*(D10^2-D9^2)</f>
        <v>549.77871437821375</v>
      </c>
      <c r="E29" t="s">
        <v>49</v>
      </c>
    </row>
    <row r="30" spans="1:6">
      <c r="B30" t="s">
        <v>210</v>
      </c>
      <c r="D30" s="9">
        <f>PI()*((D10+D11)^2-D10^2)</f>
        <v>25.258404934861822</v>
      </c>
      <c r="E30" t="s">
        <v>49</v>
      </c>
    </row>
    <row r="31" spans="1:6">
      <c r="B31" t="s">
        <v>211</v>
      </c>
      <c r="D31" s="9">
        <f>PI()*(D9^2-(D9-D12)^2)</f>
        <v>9.3933620342334212</v>
      </c>
      <c r="E31" t="s">
        <v>49</v>
      </c>
    </row>
    <row r="32" spans="1:6">
      <c r="B32" t="s">
        <v>212</v>
      </c>
      <c r="D32" s="9">
        <f>2*PI()*(D10+D11+(D13/2))</f>
        <v>127.61149358881738</v>
      </c>
      <c r="E32" t="s">
        <v>21</v>
      </c>
      <c r="F32" t="s">
        <v>213</v>
      </c>
    </row>
    <row r="33" spans="1:8">
      <c r="B33" t="s">
        <v>214</v>
      </c>
      <c r="D33" s="9">
        <f>2*PI()*(D9-D12-(D14/2))</f>
        <v>92.362824015539928</v>
      </c>
      <c r="E33" t="s">
        <v>21</v>
      </c>
      <c r="F33" t="s">
        <v>213</v>
      </c>
    </row>
    <row r="34" spans="1:8">
      <c r="B34" t="s">
        <v>218</v>
      </c>
      <c r="D34">
        <f>(D17+D16)*D18*D4</f>
        <v>85</v>
      </c>
      <c r="E34" t="s">
        <v>49</v>
      </c>
    </row>
    <row r="36" spans="1:8">
      <c r="A36" s="2" t="s">
        <v>26</v>
      </c>
    </row>
    <row r="37" spans="1:8" ht="15.75" thickBot="1">
      <c r="B37" s="1" t="s">
        <v>1</v>
      </c>
      <c r="C37" s="1" t="s">
        <v>2</v>
      </c>
      <c r="D37" s="1" t="s">
        <v>3</v>
      </c>
      <c r="E37" s="64" t="s">
        <v>616</v>
      </c>
      <c r="F37" s="64" t="s">
        <v>4</v>
      </c>
      <c r="G37" s="64" t="s">
        <v>643</v>
      </c>
      <c r="H37" s="64" t="s">
        <v>3</v>
      </c>
    </row>
    <row r="38" spans="1:8">
      <c r="A38" t="s">
        <v>221</v>
      </c>
      <c r="B38" t="s">
        <v>27</v>
      </c>
      <c r="C38" s="9">
        <f>D29*D20</f>
        <v>13.744467859455344</v>
      </c>
      <c r="D38" t="s">
        <v>48</v>
      </c>
      <c r="E38" s="13" t="s">
        <v>660</v>
      </c>
      <c r="F38" t="s">
        <v>645</v>
      </c>
      <c r="G38" s="29">
        <f>C38*2.5*1000</f>
        <v>34361.169648638359</v>
      </c>
      <c r="H38" t="s">
        <v>644</v>
      </c>
    </row>
    <row r="39" spans="1:8">
      <c r="B39" t="s">
        <v>29</v>
      </c>
      <c r="C39" s="9">
        <f>D29*(D21+D22)</f>
        <v>71.471232869167793</v>
      </c>
      <c r="D39" t="s">
        <v>48</v>
      </c>
      <c r="E39" t="s">
        <v>638</v>
      </c>
      <c r="F39" t="s">
        <v>645</v>
      </c>
      <c r="G39" s="29">
        <f>C39*2.5*1000</f>
        <v>178678.0821729195</v>
      </c>
      <c r="H39" t="s">
        <v>644</v>
      </c>
    </row>
    <row r="40" spans="1:8">
      <c r="B40" t="s">
        <v>601</v>
      </c>
      <c r="C40" s="11">
        <f>D29</f>
        <v>549.77871437821375</v>
      </c>
      <c r="D40" t="s">
        <v>49</v>
      </c>
      <c r="E40" s="13" t="s">
        <v>668</v>
      </c>
      <c r="F40" s="4" t="s">
        <v>602</v>
      </c>
      <c r="G40" s="54">
        <f>C40</f>
        <v>549.77871437821375</v>
      </c>
      <c r="H40" s="13" t="s">
        <v>49</v>
      </c>
    </row>
    <row r="41" spans="1:8">
      <c r="B41" t="s">
        <v>30</v>
      </c>
      <c r="C41" s="9">
        <f>D29</f>
        <v>549.77871437821375</v>
      </c>
      <c r="D41" t="s">
        <v>49</v>
      </c>
      <c r="E41" s="13" t="s">
        <v>623</v>
      </c>
      <c r="F41" s="13"/>
      <c r="G41" s="54">
        <f>C41*0.25</f>
        <v>137.44467859455344</v>
      </c>
      <c r="H41" s="13" t="s">
        <v>48</v>
      </c>
    </row>
    <row r="42" spans="1:8">
      <c r="B42" t="s">
        <v>31</v>
      </c>
      <c r="C42">
        <f>D29*D24</f>
        <v>274.88935718910687</v>
      </c>
      <c r="D42" t="s">
        <v>48</v>
      </c>
      <c r="E42" s="13" t="s">
        <v>639</v>
      </c>
      <c r="F42" s="13"/>
      <c r="G42" s="54">
        <f>C42</f>
        <v>274.88935718910687</v>
      </c>
      <c r="H42" s="13" t="s">
        <v>48</v>
      </c>
    </row>
    <row r="43" spans="1:8">
      <c r="B43" t="s">
        <v>32</v>
      </c>
      <c r="C43">
        <f>PI()*(D10)^2*SUM(D20:D24)</f>
        <v>1137.2565405995051</v>
      </c>
      <c r="D43" t="s">
        <v>48</v>
      </c>
      <c r="E43" s="13" t="s">
        <v>699</v>
      </c>
      <c r="F43" s="12" t="s">
        <v>405</v>
      </c>
      <c r="G43" s="30">
        <f>C43</f>
        <v>1137.2565405995051</v>
      </c>
      <c r="H43" s="13" t="s">
        <v>48</v>
      </c>
    </row>
    <row r="44" spans="1:8">
      <c r="E44" s="13"/>
      <c r="F44" s="13"/>
      <c r="G44" s="13"/>
      <c r="H44" s="13"/>
    </row>
    <row r="45" spans="1:8">
      <c r="A45" s="13" t="s">
        <v>415</v>
      </c>
      <c r="B45" s="13" t="s">
        <v>27</v>
      </c>
      <c r="C45" s="9">
        <f>D34*D20</f>
        <v>2.125</v>
      </c>
      <c r="D45" t="s">
        <v>48</v>
      </c>
      <c r="E45" s="13" t="s">
        <v>660</v>
      </c>
      <c r="F45" s="13" t="s">
        <v>645</v>
      </c>
      <c r="G45" s="54">
        <f>C45*2.5*1000</f>
        <v>5312.5</v>
      </c>
      <c r="H45" s="13" t="s">
        <v>644</v>
      </c>
    </row>
    <row r="46" spans="1:8">
      <c r="A46" s="13"/>
      <c r="B46" s="13" t="s">
        <v>29</v>
      </c>
      <c r="C46" s="9">
        <f>D34*(D21+D22)</f>
        <v>11.05</v>
      </c>
      <c r="D46" t="s">
        <v>48</v>
      </c>
      <c r="E46" s="13" t="s">
        <v>638</v>
      </c>
      <c r="F46" s="13" t="s">
        <v>645</v>
      </c>
      <c r="G46" s="54">
        <f>C46*2.5*1000</f>
        <v>27625</v>
      </c>
      <c r="H46" s="13" t="s">
        <v>644</v>
      </c>
    </row>
    <row r="47" spans="1:8">
      <c r="A47" s="13"/>
      <c r="B47" s="13" t="s">
        <v>601</v>
      </c>
      <c r="C47" s="11">
        <f>D34</f>
        <v>85</v>
      </c>
      <c r="D47" t="s">
        <v>49</v>
      </c>
      <c r="E47" s="13" t="s">
        <v>668</v>
      </c>
      <c r="F47" s="4" t="s">
        <v>602</v>
      </c>
      <c r="G47" s="54">
        <f>C47</f>
        <v>85</v>
      </c>
      <c r="H47" s="13" t="s">
        <v>49</v>
      </c>
    </row>
    <row r="48" spans="1:8">
      <c r="A48" s="13"/>
      <c r="B48" s="13" t="s">
        <v>30</v>
      </c>
      <c r="C48" s="9">
        <f>D34</f>
        <v>85</v>
      </c>
      <c r="D48" t="s">
        <v>49</v>
      </c>
      <c r="E48" s="13" t="s">
        <v>623</v>
      </c>
      <c r="F48" s="13"/>
      <c r="G48" s="54">
        <f>C48*0.25</f>
        <v>21.25</v>
      </c>
      <c r="H48" s="13" t="s">
        <v>48</v>
      </c>
    </row>
    <row r="49" spans="1:8">
      <c r="A49" s="13"/>
      <c r="B49" s="13" t="s">
        <v>31</v>
      </c>
      <c r="C49">
        <f>D34*D24</f>
        <v>42.5</v>
      </c>
      <c r="D49" t="s">
        <v>48</v>
      </c>
      <c r="E49" s="13" t="s">
        <v>639</v>
      </c>
      <c r="F49" s="13"/>
      <c r="G49" s="54">
        <f>C49</f>
        <v>42.5</v>
      </c>
      <c r="H49" s="13" t="s">
        <v>48</v>
      </c>
    </row>
    <row r="50" spans="1:8">
      <c r="A50" s="13"/>
      <c r="B50" s="13" t="s">
        <v>32</v>
      </c>
      <c r="C50">
        <f>D34*SUM(D20:D24)</f>
        <v>76.924999999999997</v>
      </c>
      <c r="D50" t="s">
        <v>48</v>
      </c>
      <c r="E50" s="13" t="s">
        <v>699</v>
      </c>
      <c r="F50" s="12" t="s">
        <v>406</v>
      </c>
      <c r="G50" s="30">
        <f>C50</f>
        <v>76.924999999999997</v>
      </c>
      <c r="H50" s="13" t="s">
        <v>48</v>
      </c>
    </row>
    <row r="51" spans="1:8">
      <c r="A51" s="13"/>
      <c r="B51" s="13" t="s">
        <v>416</v>
      </c>
      <c r="C51">
        <f>D4*D18*25%/1000</f>
        <v>2.5000000000000001E-3</v>
      </c>
      <c r="D51" t="s">
        <v>300</v>
      </c>
      <c r="E51" s="13" t="s">
        <v>621</v>
      </c>
      <c r="F51" s="13"/>
      <c r="G51" s="54">
        <f>C51*1000</f>
        <v>2.5</v>
      </c>
      <c r="H51" s="13" t="s">
        <v>21</v>
      </c>
    </row>
    <row r="52" spans="1:8">
      <c r="A52" s="13"/>
      <c r="B52" s="13"/>
      <c r="E52" s="13"/>
      <c r="F52" s="13"/>
      <c r="G52" s="13"/>
      <c r="H52" s="13"/>
    </row>
    <row r="53" spans="1:8">
      <c r="A53" s="13" t="s">
        <v>408</v>
      </c>
      <c r="B53" s="13" t="s">
        <v>223</v>
      </c>
      <c r="C53" s="9">
        <f>D30</f>
        <v>25.258404934861822</v>
      </c>
      <c r="D53" t="s">
        <v>49</v>
      </c>
      <c r="E53" s="13" t="s">
        <v>677</v>
      </c>
      <c r="F53" s="13"/>
      <c r="G53" s="30">
        <f>C53</f>
        <v>25.258404934861822</v>
      </c>
      <c r="H53" s="13" t="s">
        <v>49</v>
      </c>
    </row>
    <row r="54" spans="1:8">
      <c r="A54" s="13"/>
      <c r="B54" s="13" t="s">
        <v>224</v>
      </c>
      <c r="C54" s="9">
        <f>D31</f>
        <v>9.3933620342334212</v>
      </c>
      <c r="D54" t="s">
        <v>49</v>
      </c>
      <c r="E54" s="13" t="s">
        <v>677</v>
      </c>
      <c r="F54" s="13"/>
      <c r="G54" s="30">
        <f>C54</f>
        <v>9.3933620342334212</v>
      </c>
      <c r="H54" s="13" t="s">
        <v>49</v>
      </c>
    </row>
    <row r="55" spans="1:8">
      <c r="A55" s="13"/>
      <c r="B55" s="13" t="s">
        <v>204</v>
      </c>
      <c r="C55" s="9">
        <f>D32</f>
        <v>127.61149358881738</v>
      </c>
      <c r="D55" t="s">
        <v>21</v>
      </c>
      <c r="E55" s="13" t="s">
        <v>678</v>
      </c>
      <c r="F55" s="13"/>
      <c r="G55" s="30">
        <f>C55</f>
        <v>127.61149358881738</v>
      </c>
      <c r="H55" s="13" t="s">
        <v>21</v>
      </c>
    </row>
    <row r="56" spans="1:8">
      <c r="A56" s="13"/>
      <c r="B56" s="13" t="s">
        <v>225</v>
      </c>
      <c r="C56" s="9">
        <f>D33</f>
        <v>92.362824015539928</v>
      </c>
      <c r="D56" t="s">
        <v>21</v>
      </c>
      <c r="E56" s="13" t="s">
        <v>678</v>
      </c>
      <c r="F56" s="13"/>
      <c r="G56" s="30">
        <f>C56</f>
        <v>92.362824015539928</v>
      </c>
      <c r="H56" s="13" t="s">
        <v>21</v>
      </c>
    </row>
    <row r="57" spans="1:8">
      <c r="A57" s="13"/>
      <c r="B57" s="13"/>
      <c r="E57" s="13"/>
      <c r="F57" s="13"/>
      <c r="G57" s="13"/>
      <c r="H57" s="13"/>
    </row>
    <row r="58" spans="1:8">
      <c r="A58" s="13" t="s">
        <v>407</v>
      </c>
      <c r="B58" s="13" t="s">
        <v>409</v>
      </c>
      <c r="C58" s="9">
        <f>D27</f>
        <v>660.51985541725401</v>
      </c>
      <c r="D58" t="s">
        <v>49</v>
      </c>
      <c r="E58" s="13" t="s">
        <v>679</v>
      </c>
      <c r="F58" s="13" t="s">
        <v>680</v>
      </c>
      <c r="G58" s="30">
        <f>C58</f>
        <v>660.51985541725401</v>
      </c>
      <c r="H58" s="13" t="s">
        <v>49</v>
      </c>
    </row>
    <row r="59" spans="1:8">
      <c r="A59" s="13"/>
      <c r="B59" s="13"/>
    </row>
    <row r="60" spans="1:8">
      <c r="A60" s="89"/>
      <c r="B60" s="13"/>
    </row>
    <row r="61" spans="1:8">
      <c r="A61" s="87"/>
      <c r="B61" s="13"/>
    </row>
    <row r="62" spans="1:8">
      <c r="A62" s="13"/>
      <c r="B62" s="13"/>
    </row>
  </sheetData>
  <pageMargins left="0.7" right="0.7" top="0.75" bottom="0.75" header="0.3" footer="0.3"/>
  <pageSetup paperSize="9"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sheetPr>
  <dimension ref="A1:L86"/>
  <sheetViews>
    <sheetView topLeftCell="A31" zoomScale="70" zoomScaleNormal="70" workbookViewId="0">
      <selection activeCell="A73" sqref="A73"/>
    </sheetView>
  </sheetViews>
  <sheetFormatPr defaultRowHeight="15"/>
  <cols>
    <col min="1" max="1" width="20.28515625" bestFit="1" customWidth="1"/>
    <col min="2" max="2" width="52.85546875" bestFit="1" customWidth="1"/>
    <col min="3" max="3" width="9.140625" bestFit="1" customWidth="1"/>
    <col min="4" max="4" width="14.85546875" bestFit="1" customWidth="1"/>
    <col min="5" max="5" width="57.85546875" bestFit="1" customWidth="1"/>
    <col min="6" max="6" width="79" customWidth="1"/>
    <col min="7" max="7" width="15.85546875" bestFit="1" customWidth="1"/>
    <col min="8" max="8" width="11" bestFit="1" customWidth="1"/>
    <col min="9" max="9" width="18.7109375" customWidth="1"/>
    <col min="10" max="10" width="52.42578125" customWidth="1"/>
  </cols>
  <sheetData>
    <row r="1" spans="1:6">
      <c r="A1" s="2" t="s">
        <v>0</v>
      </c>
    </row>
    <row r="2" spans="1:6" ht="15.75" thickBot="1">
      <c r="B2" s="1" t="s">
        <v>1</v>
      </c>
      <c r="C2" s="1"/>
      <c r="D2" s="1" t="s">
        <v>2</v>
      </c>
      <c r="E2" s="1" t="s">
        <v>3</v>
      </c>
      <c r="F2" s="1" t="s">
        <v>4</v>
      </c>
    </row>
    <row r="3" spans="1:6">
      <c r="B3" t="s">
        <v>6</v>
      </c>
      <c r="D3">
        <v>1</v>
      </c>
      <c r="E3" t="s">
        <v>5</v>
      </c>
      <c r="F3" t="s">
        <v>12</v>
      </c>
    </row>
    <row r="4" spans="1:6">
      <c r="B4" t="s">
        <v>7</v>
      </c>
      <c r="D4">
        <v>2</v>
      </c>
      <c r="E4" t="s">
        <v>5</v>
      </c>
      <c r="F4" t="s">
        <v>12</v>
      </c>
    </row>
    <row r="5" spans="1:6">
      <c r="B5" t="s">
        <v>8</v>
      </c>
      <c r="D5">
        <v>0</v>
      </c>
      <c r="E5" t="s">
        <v>5</v>
      </c>
    </row>
    <row r="6" spans="1:6">
      <c r="B6" t="s">
        <v>23</v>
      </c>
      <c r="D6">
        <v>50</v>
      </c>
      <c r="E6" t="s">
        <v>21</v>
      </c>
    </row>
    <row r="8" spans="1:6">
      <c r="A8" s="2" t="s">
        <v>11</v>
      </c>
    </row>
    <row r="9" spans="1:6" ht="15.75" thickBot="1">
      <c r="B9" s="1" t="s">
        <v>1</v>
      </c>
      <c r="C9" s="1"/>
      <c r="D9" s="1" t="s">
        <v>2</v>
      </c>
      <c r="E9" s="1" t="s">
        <v>3</v>
      </c>
      <c r="F9" s="1" t="s">
        <v>4</v>
      </c>
    </row>
    <row r="10" spans="1:6">
      <c r="B10" t="s">
        <v>24</v>
      </c>
      <c r="D10">
        <v>4.5999999999999996</v>
      </c>
      <c r="E10" s="13" t="s">
        <v>102</v>
      </c>
      <c r="F10" t="s">
        <v>103</v>
      </c>
    </row>
    <row r="11" spans="1:6">
      <c r="B11" t="s">
        <v>104</v>
      </c>
      <c r="D11">
        <v>7.0000000000000007E-2</v>
      </c>
      <c r="E11" s="13" t="s">
        <v>102</v>
      </c>
      <c r="F11" t="s">
        <v>105</v>
      </c>
    </row>
    <row r="12" spans="1:6">
      <c r="B12" t="s">
        <v>17</v>
      </c>
      <c r="D12">
        <v>7.0000000000000007E-2</v>
      </c>
      <c r="E12" t="s">
        <v>21</v>
      </c>
      <c r="F12" t="s">
        <v>45</v>
      </c>
    </row>
    <row r="13" spans="1:6">
      <c r="B13" t="s">
        <v>18</v>
      </c>
      <c r="D13">
        <v>0.18</v>
      </c>
      <c r="E13" t="s">
        <v>21</v>
      </c>
      <c r="F13" t="s">
        <v>45</v>
      </c>
    </row>
    <row r="14" spans="1:6">
      <c r="B14" t="s">
        <v>19</v>
      </c>
      <c r="D14">
        <v>0.25</v>
      </c>
      <c r="E14" t="s">
        <v>21</v>
      </c>
      <c r="F14" t="s">
        <v>46</v>
      </c>
    </row>
    <row r="15" spans="1:6">
      <c r="B15" t="s">
        <v>20</v>
      </c>
      <c r="D15">
        <v>0.5</v>
      </c>
      <c r="E15" t="s">
        <v>21</v>
      </c>
      <c r="F15" t="s">
        <v>47</v>
      </c>
    </row>
    <row r="16" spans="1:6">
      <c r="B16" t="s">
        <v>106</v>
      </c>
      <c r="D16">
        <v>0.05</v>
      </c>
      <c r="E16" s="13" t="s">
        <v>102</v>
      </c>
      <c r="F16" t="s">
        <v>107</v>
      </c>
    </row>
    <row r="17" spans="1:8">
      <c r="B17" t="s">
        <v>108</v>
      </c>
      <c r="D17">
        <v>0.3</v>
      </c>
      <c r="E17" s="13" t="s">
        <v>109</v>
      </c>
      <c r="F17" t="s">
        <v>110</v>
      </c>
      <c r="H17" s="17"/>
    </row>
    <row r="18" spans="1:8">
      <c r="B18" t="s">
        <v>111</v>
      </c>
      <c r="D18">
        <v>7.8</v>
      </c>
      <c r="E18" s="13" t="s">
        <v>112</v>
      </c>
      <c r="F18" t="s">
        <v>113</v>
      </c>
    </row>
    <row r="19" spans="1:8">
      <c r="B19" t="s">
        <v>114</v>
      </c>
      <c r="D19">
        <v>1</v>
      </c>
      <c r="E19" s="13" t="s">
        <v>21</v>
      </c>
      <c r="F19" t="s">
        <v>115</v>
      </c>
    </row>
    <row r="20" spans="1:8">
      <c r="B20" t="s">
        <v>116</v>
      </c>
      <c r="D20">
        <v>60</v>
      </c>
      <c r="E20" s="13" t="s">
        <v>109</v>
      </c>
      <c r="F20" t="s">
        <v>117</v>
      </c>
    </row>
    <row r="21" spans="1:8">
      <c r="B21" t="s">
        <v>118</v>
      </c>
      <c r="D21">
        <v>6</v>
      </c>
      <c r="E21" s="13" t="s">
        <v>49</v>
      </c>
      <c r="F21" t="s">
        <v>119</v>
      </c>
    </row>
    <row r="22" spans="1:8">
      <c r="B22" t="s">
        <v>120</v>
      </c>
      <c r="D22">
        <f>3*3*1+D10+1</f>
        <v>14.6</v>
      </c>
      <c r="E22" s="13" t="s">
        <v>48</v>
      </c>
      <c r="F22" t="s">
        <v>121</v>
      </c>
    </row>
    <row r="23" spans="1:8">
      <c r="B23" t="s">
        <v>122</v>
      </c>
      <c r="D23">
        <v>40</v>
      </c>
      <c r="E23" s="13" t="s">
        <v>123</v>
      </c>
      <c r="F23" t="s">
        <v>124</v>
      </c>
    </row>
    <row r="24" spans="1:8">
      <c r="B24" t="s">
        <v>125</v>
      </c>
      <c r="D24" s="9">
        <f>8/4.6</f>
        <v>1.7391304347826089</v>
      </c>
      <c r="E24" s="13" t="s">
        <v>123</v>
      </c>
      <c r="F24" t="s">
        <v>126</v>
      </c>
    </row>
    <row r="25" spans="1:8">
      <c r="B25" t="s">
        <v>127</v>
      </c>
      <c r="D25">
        <f>1/20</f>
        <v>0.05</v>
      </c>
      <c r="E25" s="13" t="s">
        <v>102</v>
      </c>
      <c r="F25" t="s">
        <v>128</v>
      </c>
      <c r="H25" s="17"/>
    </row>
    <row r="26" spans="1:8">
      <c r="B26" t="s">
        <v>129</v>
      </c>
      <c r="D26">
        <v>1</v>
      </c>
      <c r="E26" s="13" t="s">
        <v>102</v>
      </c>
      <c r="F26" t="s">
        <v>130</v>
      </c>
    </row>
    <row r="27" spans="1:8">
      <c r="B27" t="s">
        <v>13</v>
      </c>
      <c r="D27">
        <v>1.1000000000000001</v>
      </c>
      <c r="E27" s="13" t="s">
        <v>102</v>
      </c>
      <c r="F27" t="s">
        <v>130</v>
      </c>
    </row>
    <row r="28" spans="1:8">
      <c r="B28" t="s">
        <v>15</v>
      </c>
      <c r="D28">
        <v>3.5</v>
      </c>
      <c r="E28" s="13" t="s">
        <v>102</v>
      </c>
      <c r="F28" t="s">
        <v>130</v>
      </c>
    </row>
    <row r="29" spans="1:8">
      <c r="B29" t="s">
        <v>131</v>
      </c>
      <c r="D29" s="9">
        <v>0.05</v>
      </c>
      <c r="E29" s="13" t="s">
        <v>132</v>
      </c>
      <c r="F29" t="s">
        <v>133</v>
      </c>
      <c r="G29" s="18"/>
      <c r="H29" s="17"/>
    </row>
    <row r="30" spans="1:8">
      <c r="B30" t="s">
        <v>134</v>
      </c>
      <c r="D30">
        <f>15*0.4*0.4</f>
        <v>2.4000000000000004</v>
      </c>
      <c r="E30" s="13" t="s">
        <v>48</v>
      </c>
      <c r="F30" t="s">
        <v>135</v>
      </c>
    </row>
    <row r="32" spans="1:8">
      <c r="A32" s="2" t="s">
        <v>136</v>
      </c>
    </row>
    <row r="33" spans="2:6">
      <c r="B33" t="s">
        <v>137</v>
      </c>
      <c r="D33">
        <f>D19*D25</f>
        <v>0.05</v>
      </c>
      <c r="E33" t="s">
        <v>5</v>
      </c>
    </row>
    <row r="34" spans="2:6">
      <c r="B34" t="s">
        <v>138</v>
      </c>
      <c r="D34">
        <f>INT(D6*D33)*(D4+D5)</f>
        <v>4</v>
      </c>
      <c r="E34" t="s">
        <v>5</v>
      </c>
    </row>
    <row r="35" spans="2:6">
      <c r="B35" t="s">
        <v>139</v>
      </c>
      <c r="D35">
        <f>D10+D19+D16+D11</f>
        <v>5.72</v>
      </c>
      <c r="E35" t="s">
        <v>102</v>
      </c>
    </row>
    <row r="36" spans="2:6">
      <c r="B36" t="s">
        <v>140</v>
      </c>
      <c r="D36">
        <f>D35-D26</f>
        <v>4.72</v>
      </c>
      <c r="E36" t="s">
        <v>102</v>
      </c>
    </row>
    <row r="37" spans="2:6">
      <c r="B37" t="s">
        <v>141</v>
      </c>
      <c r="D37">
        <f>D23*D36</f>
        <v>188.79999999999998</v>
      </c>
      <c r="E37" t="s">
        <v>102</v>
      </c>
    </row>
    <row r="38" spans="2:6">
      <c r="B38" t="s">
        <v>142</v>
      </c>
      <c r="D38">
        <f>D23*D35</f>
        <v>228.79999999999998</v>
      </c>
      <c r="E38" t="s">
        <v>102</v>
      </c>
    </row>
    <row r="39" spans="2:6">
      <c r="B39" t="s">
        <v>184</v>
      </c>
      <c r="D39" s="11">
        <f>SQRT((D38^2)+(D35^2))</f>
        <v>228.87148883161484</v>
      </c>
      <c r="E39" t="s">
        <v>102</v>
      </c>
    </row>
    <row r="40" spans="2:6">
      <c r="B40" t="s">
        <v>143</v>
      </c>
      <c r="D40">
        <f>D35*D24</f>
        <v>9.9478260869565229</v>
      </c>
      <c r="E40" t="s">
        <v>102</v>
      </c>
    </row>
    <row r="41" spans="2:6">
      <c r="B41" t="s">
        <v>144</v>
      </c>
      <c r="D41">
        <f>D4*D28+D5*D28+2*D3*D27</f>
        <v>9.1999999999999993</v>
      </c>
      <c r="E41" t="s">
        <v>102</v>
      </c>
    </row>
    <row r="42" spans="2:6">
      <c r="B42" t="s">
        <v>145</v>
      </c>
      <c r="D42">
        <f>D41*D6</f>
        <v>459.99999999999994</v>
      </c>
      <c r="E42" t="s">
        <v>49</v>
      </c>
    </row>
    <row r="43" spans="2:6">
      <c r="B43" t="s">
        <v>146</v>
      </c>
      <c r="D43">
        <f>D38*D40*0.5*4</f>
        <v>4552.1252173913044</v>
      </c>
      <c r="E43" t="s">
        <v>49</v>
      </c>
    </row>
    <row r="44" spans="2:6">
      <c r="B44" t="s">
        <v>147</v>
      </c>
      <c r="D44">
        <f>D37*D41*2</f>
        <v>3473.9199999999996</v>
      </c>
      <c r="E44" t="s">
        <v>49</v>
      </c>
    </row>
    <row r="45" spans="2:6">
      <c r="B45" t="s">
        <v>148</v>
      </c>
      <c r="D45">
        <f>(1/3)*D43*D35+D44*D36*0.5</f>
        <v>16877.83661449275</v>
      </c>
      <c r="E45" t="s">
        <v>48</v>
      </c>
      <c r="F45" t="s">
        <v>151</v>
      </c>
    </row>
    <row r="46" spans="2:6">
      <c r="B46" t="s">
        <v>149</v>
      </c>
      <c r="D46">
        <f>D41*D10</f>
        <v>42.319999999999993</v>
      </c>
      <c r="E46" t="s">
        <v>49</v>
      </c>
    </row>
    <row r="47" spans="2:6">
      <c r="B47" t="s">
        <v>150</v>
      </c>
      <c r="D47">
        <f>INT(D42*D29)</f>
        <v>23</v>
      </c>
      <c r="E47" t="s">
        <v>5</v>
      </c>
    </row>
    <row r="50" spans="1:10">
      <c r="A50" s="2" t="s">
        <v>26</v>
      </c>
    </row>
    <row r="51" spans="1:10" ht="15.75" thickBot="1">
      <c r="B51" s="1" t="s">
        <v>1</v>
      </c>
      <c r="C51" s="1" t="s">
        <v>2</v>
      </c>
      <c r="D51" s="1" t="s">
        <v>3</v>
      </c>
      <c r="E51" s="1" t="s">
        <v>616</v>
      </c>
      <c r="F51" s="1" t="s">
        <v>4</v>
      </c>
      <c r="G51" s="1" t="s">
        <v>643</v>
      </c>
      <c r="H51" s="1" t="s">
        <v>3</v>
      </c>
    </row>
    <row r="52" spans="1:10">
      <c r="A52" s="49" t="s">
        <v>166</v>
      </c>
      <c r="B52" s="13" t="s">
        <v>152</v>
      </c>
      <c r="C52" s="14">
        <f>D47*D30</f>
        <v>55.20000000000001</v>
      </c>
      <c r="D52" s="4" t="s">
        <v>48</v>
      </c>
      <c r="E52" s="13" t="s">
        <v>670</v>
      </c>
      <c r="F52" s="4" t="s">
        <v>681</v>
      </c>
      <c r="G52" s="29">
        <f>15*D47</f>
        <v>345</v>
      </c>
      <c r="H52" s="13" t="s">
        <v>21</v>
      </c>
      <c r="I52" s="11"/>
    </row>
    <row r="53" spans="1:10">
      <c r="A53" s="49" t="s">
        <v>167</v>
      </c>
      <c r="B53" s="13" t="s">
        <v>153</v>
      </c>
      <c r="C53" s="14">
        <f>D45</f>
        <v>16877.83661449275</v>
      </c>
      <c r="D53" s="4" t="s">
        <v>48</v>
      </c>
      <c r="E53" t="s">
        <v>699</v>
      </c>
      <c r="G53" s="15">
        <f>C53</f>
        <v>16877.83661449275</v>
      </c>
      <c r="H53" s="13" t="s">
        <v>48</v>
      </c>
      <c r="I53" s="11"/>
    </row>
    <row r="54" spans="1:10">
      <c r="A54" s="49" t="s">
        <v>38</v>
      </c>
      <c r="B54" s="13" t="s">
        <v>154</v>
      </c>
      <c r="C54" s="14">
        <f>D46</f>
        <v>42.319999999999993</v>
      </c>
      <c r="D54" s="4" t="s">
        <v>49</v>
      </c>
      <c r="E54" t="s">
        <v>634</v>
      </c>
      <c r="G54" s="15">
        <f>C54</f>
        <v>42.319999999999993</v>
      </c>
      <c r="H54" s="13" t="s">
        <v>49</v>
      </c>
      <c r="I54" s="11"/>
    </row>
    <row r="55" spans="1:10">
      <c r="A55" s="49"/>
      <c r="B55" s="13" t="s">
        <v>156</v>
      </c>
      <c r="C55" s="16">
        <f>D41*2*D21*((100-D17)/100)</f>
        <v>110.0688</v>
      </c>
      <c r="D55" s="4" t="s">
        <v>48</v>
      </c>
      <c r="E55" t="s">
        <v>617</v>
      </c>
      <c r="F55" t="s">
        <v>618</v>
      </c>
      <c r="G55" s="15">
        <f>C55</f>
        <v>110.0688</v>
      </c>
      <c r="H55" s="13" t="s">
        <v>48</v>
      </c>
      <c r="I55" s="11"/>
    </row>
    <row r="56" spans="1:10">
      <c r="A56" s="49"/>
      <c r="B56" s="13" t="s">
        <v>158</v>
      </c>
      <c r="C56" s="16">
        <f>D41*2*D21*(D17/100)*D18</f>
        <v>2.5833599999999999</v>
      </c>
      <c r="D56" s="4" t="s">
        <v>159</v>
      </c>
      <c r="E56" t="s">
        <v>620</v>
      </c>
      <c r="G56" s="29">
        <f>C56*1000</f>
        <v>2583.3599999999997</v>
      </c>
      <c r="H56" s="13" t="s">
        <v>644</v>
      </c>
      <c r="I56" s="11"/>
    </row>
    <row r="57" spans="1:10">
      <c r="A57" s="49" t="s">
        <v>39</v>
      </c>
      <c r="B57" s="13" t="s">
        <v>160</v>
      </c>
      <c r="C57" s="16">
        <f>D42*D19*((100-D20)/100)*((100-D17)/100)</f>
        <v>183.44800000000001</v>
      </c>
      <c r="D57" s="4" t="s">
        <v>48</v>
      </c>
      <c r="E57" t="s">
        <v>617</v>
      </c>
      <c r="F57" t="s">
        <v>618</v>
      </c>
      <c r="G57" s="15">
        <f>C57</f>
        <v>183.44800000000001</v>
      </c>
      <c r="H57" s="13" t="s">
        <v>48</v>
      </c>
      <c r="I57" s="11"/>
    </row>
    <row r="58" spans="1:10">
      <c r="A58" s="49"/>
      <c r="B58" s="13" t="s">
        <v>161</v>
      </c>
      <c r="C58" s="16">
        <f>D42*D19*((100-D20)/100)*(D17/100)*D18</f>
        <v>4.3056000000000001</v>
      </c>
      <c r="D58" s="4" t="s">
        <v>159</v>
      </c>
      <c r="E58" t="s">
        <v>619</v>
      </c>
      <c r="G58" s="29">
        <f>C58*1000</f>
        <v>4305.6000000000004</v>
      </c>
      <c r="H58" s="13" t="s">
        <v>644</v>
      </c>
      <c r="I58" s="11"/>
    </row>
    <row r="59" spans="1:10">
      <c r="A59" s="49"/>
      <c r="B59" s="13" t="s">
        <v>162</v>
      </c>
      <c r="C59" s="14">
        <f>D34*D22*((100-D17)/100)</f>
        <v>58.224800000000002</v>
      </c>
      <c r="D59" s="4" t="s">
        <v>48</v>
      </c>
      <c r="E59" t="s">
        <v>617</v>
      </c>
      <c r="F59" t="s">
        <v>618</v>
      </c>
      <c r="G59" s="15">
        <f>C59</f>
        <v>58.224800000000002</v>
      </c>
      <c r="H59" s="13" t="s">
        <v>48</v>
      </c>
      <c r="I59" s="11"/>
    </row>
    <row r="60" spans="1:10">
      <c r="A60" s="49"/>
      <c r="B60" s="13" t="s">
        <v>163</v>
      </c>
      <c r="C60" s="14">
        <f>D34*D22*(D17/100)*D18</f>
        <v>1.36656</v>
      </c>
      <c r="D60" s="4" t="s">
        <v>159</v>
      </c>
      <c r="E60" t="s">
        <v>620</v>
      </c>
      <c r="G60" s="29">
        <f>C60*1000</f>
        <v>1366.56</v>
      </c>
      <c r="H60" s="13" t="s">
        <v>644</v>
      </c>
      <c r="I60" s="58"/>
      <c r="J60" s="13"/>
    </row>
    <row r="61" spans="1:10">
      <c r="A61" s="49" t="s">
        <v>168</v>
      </c>
      <c r="B61" s="13" t="s">
        <v>27</v>
      </c>
      <c r="C61" s="15">
        <f>D42*D11</f>
        <v>32.199999999999996</v>
      </c>
      <c r="D61" s="4" t="s">
        <v>48</v>
      </c>
      <c r="E61" t="s">
        <v>635</v>
      </c>
      <c r="F61" t="s">
        <v>645</v>
      </c>
      <c r="G61" s="29">
        <f>C61*2.5*1000</f>
        <v>80499.999999999985</v>
      </c>
      <c r="H61" s="13" t="s">
        <v>644</v>
      </c>
      <c r="I61" s="58"/>
      <c r="J61" s="13"/>
    </row>
    <row r="62" spans="1:10">
      <c r="A62" s="49"/>
      <c r="B62" s="13" t="s">
        <v>164</v>
      </c>
      <c r="C62" s="15">
        <f>D42*D16</f>
        <v>23</v>
      </c>
      <c r="D62" s="4" t="s">
        <v>48</v>
      </c>
      <c r="E62" t="s">
        <v>660</v>
      </c>
      <c r="F62" t="s">
        <v>645</v>
      </c>
      <c r="G62" s="29">
        <f>C62*2.5*1000</f>
        <v>57500</v>
      </c>
      <c r="H62" s="13" t="s">
        <v>644</v>
      </c>
      <c r="I62" s="58"/>
      <c r="J62" s="13"/>
    </row>
    <row r="63" spans="1:10">
      <c r="A63" s="49" t="s">
        <v>664</v>
      </c>
      <c r="B63" s="13" t="s">
        <v>697</v>
      </c>
      <c r="C63" s="15">
        <f>(D4-1)*(2*D39)</f>
        <v>457.74297766322968</v>
      </c>
      <c r="D63" t="s">
        <v>102</v>
      </c>
      <c r="E63" s="13" t="s">
        <v>696</v>
      </c>
      <c r="F63" s="13" t="s">
        <v>649</v>
      </c>
      <c r="G63" s="15">
        <f>C63</f>
        <v>457.74297766322968</v>
      </c>
      <c r="H63" s="13" t="s">
        <v>21</v>
      </c>
      <c r="I63" s="58"/>
      <c r="J63" s="13"/>
    </row>
    <row r="64" spans="1:10">
      <c r="A64" s="13"/>
      <c r="B64" s="13" t="s">
        <v>663</v>
      </c>
      <c r="C64" s="15">
        <f>2*(2*D39)</f>
        <v>915.48595532645936</v>
      </c>
      <c r="D64" t="s">
        <v>102</v>
      </c>
      <c r="E64" s="13" t="s">
        <v>696</v>
      </c>
      <c r="F64" s="13" t="s">
        <v>650</v>
      </c>
      <c r="G64" s="15">
        <f>C64</f>
        <v>915.48595532645936</v>
      </c>
      <c r="H64" s="13" t="s">
        <v>21</v>
      </c>
      <c r="I64" s="58"/>
      <c r="J64" s="13"/>
    </row>
    <row r="65" spans="1:12">
      <c r="A65" s="13" t="s">
        <v>186</v>
      </c>
      <c r="B65" s="13" t="s">
        <v>165</v>
      </c>
      <c r="C65" s="15">
        <f>2*D6</f>
        <v>100</v>
      </c>
      <c r="D65" t="s">
        <v>102</v>
      </c>
      <c r="E65" t="s">
        <v>646</v>
      </c>
      <c r="G65" s="15">
        <f>C65</f>
        <v>100</v>
      </c>
      <c r="H65" s="13" t="s">
        <v>21</v>
      </c>
      <c r="I65" s="58"/>
      <c r="J65" s="13"/>
    </row>
    <row r="66" spans="1:12">
      <c r="A66" t="s">
        <v>183</v>
      </c>
      <c r="B66" s="13" t="s">
        <v>27</v>
      </c>
      <c r="C66" s="15">
        <f>2*(D41*D3*D39*D11)</f>
        <v>294.78647761511996</v>
      </c>
      <c r="D66" t="s">
        <v>48</v>
      </c>
      <c r="E66" t="s">
        <v>635</v>
      </c>
      <c r="F66" t="s">
        <v>645</v>
      </c>
      <c r="G66" s="29">
        <f>C66*2.5*1000</f>
        <v>736966.19403779996</v>
      </c>
      <c r="H66" s="13" t="s">
        <v>644</v>
      </c>
      <c r="I66" s="58"/>
      <c r="J66" s="13"/>
    </row>
    <row r="67" spans="1:12">
      <c r="B67" s="13" t="s">
        <v>29</v>
      </c>
      <c r="C67" s="15">
        <f>2*(D41*D3*D39*(D12+D13))</f>
        <v>1052.8088486254283</v>
      </c>
      <c r="D67" t="s">
        <v>48</v>
      </c>
      <c r="E67" t="s">
        <v>638</v>
      </c>
      <c r="F67" t="s">
        <v>645</v>
      </c>
      <c r="G67" s="29">
        <f>C67*2.5*1000</f>
        <v>2632022.1215635706</v>
      </c>
      <c r="H67" s="13" t="s">
        <v>644</v>
      </c>
      <c r="I67" s="58"/>
      <c r="J67" s="13"/>
    </row>
    <row r="68" spans="1:12">
      <c r="B68" s="13" t="s">
        <v>30</v>
      </c>
      <c r="C68" s="15">
        <f>2*(D41*D3*D39)</f>
        <v>4211.235394501713</v>
      </c>
      <c r="D68" t="s">
        <v>49</v>
      </c>
      <c r="E68" t="s">
        <v>623</v>
      </c>
      <c r="G68" s="29">
        <f>C68*0.25</f>
        <v>1052.8088486254283</v>
      </c>
      <c r="H68" s="13" t="s">
        <v>48</v>
      </c>
      <c r="I68" s="58"/>
      <c r="J68" s="13"/>
    </row>
    <row r="69" spans="1:12">
      <c r="B69" s="13" t="s">
        <v>31</v>
      </c>
      <c r="C69" s="15">
        <f>2*(D41*D3*D39*D15)</f>
        <v>2105.6176972508565</v>
      </c>
      <c r="D69" t="s">
        <v>48</v>
      </c>
      <c r="E69" t="s">
        <v>639</v>
      </c>
      <c r="G69" s="15">
        <f>C69</f>
        <v>2105.6176972508565</v>
      </c>
      <c r="H69" s="13" t="s">
        <v>48</v>
      </c>
      <c r="I69" s="58"/>
      <c r="J69" s="13"/>
    </row>
    <row r="70" spans="1:12">
      <c r="A70" s="49" t="s">
        <v>661</v>
      </c>
      <c r="B70" s="13" t="s">
        <v>698</v>
      </c>
      <c r="C70" s="15">
        <f>(D4-1)*(D6)</f>
        <v>50</v>
      </c>
      <c r="D70" t="s">
        <v>102</v>
      </c>
      <c r="E70" s="13" t="s">
        <v>696</v>
      </c>
      <c r="F70" s="13" t="s">
        <v>649</v>
      </c>
      <c r="G70" s="15">
        <f>C70</f>
        <v>50</v>
      </c>
      <c r="H70" s="13" t="s">
        <v>21</v>
      </c>
      <c r="I70" s="58"/>
      <c r="J70" s="13"/>
    </row>
    <row r="71" spans="1:12">
      <c r="A71" s="13"/>
      <c r="B71" s="13" t="s">
        <v>662</v>
      </c>
      <c r="C71" s="15">
        <f>2*D6</f>
        <v>100</v>
      </c>
      <c r="D71" t="s">
        <v>102</v>
      </c>
      <c r="E71" s="13" t="s">
        <v>696</v>
      </c>
      <c r="F71" s="13" t="s">
        <v>650</v>
      </c>
      <c r="G71" s="15">
        <f>C71</f>
        <v>100</v>
      </c>
      <c r="H71" s="13" t="s">
        <v>21</v>
      </c>
      <c r="I71" s="58"/>
      <c r="J71" s="13"/>
    </row>
    <row r="72" spans="1:12">
      <c r="J72" s="13"/>
      <c r="K72" s="13"/>
    </row>
    <row r="73" spans="1:12">
      <c r="A73" s="89"/>
      <c r="K73" s="13"/>
      <c r="L73" s="13"/>
    </row>
    <row r="74" spans="1:12">
      <c r="A74" s="87"/>
      <c r="K74" s="13"/>
      <c r="L74" s="13"/>
    </row>
    <row r="75" spans="1:12">
      <c r="K75" s="13"/>
      <c r="L75" s="13"/>
    </row>
    <row r="76" spans="1:12">
      <c r="C76" s="4"/>
      <c r="K76" s="13"/>
      <c r="L76" s="13"/>
    </row>
    <row r="77" spans="1:12">
      <c r="C77" s="4"/>
      <c r="D77" s="15"/>
      <c r="K77" s="13"/>
      <c r="L77" s="13"/>
    </row>
    <row r="78" spans="1:12">
      <c r="C78" s="4"/>
      <c r="D78" s="15"/>
    </row>
    <row r="79" spans="1:12">
      <c r="C79" s="4"/>
    </row>
    <row r="80" spans="1:12">
      <c r="C80" s="4"/>
      <c r="D80" s="15"/>
    </row>
    <row r="81" spans="3:4">
      <c r="C81" s="4"/>
      <c r="D81" s="15"/>
    </row>
    <row r="82" spans="3:4">
      <c r="C82" s="4"/>
    </row>
    <row r="83" spans="3:4">
      <c r="C83" s="4"/>
    </row>
    <row r="84" spans="3:4">
      <c r="C84" s="4"/>
    </row>
    <row r="85" spans="3:4">
      <c r="C85" s="4"/>
    </row>
    <row r="86" spans="3:4">
      <c r="C86" s="4"/>
    </row>
  </sheetData>
  <pageMargins left="0.7" right="0.7" top="0.75" bottom="0.75" header="0.3" footer="0.3"/>
  <pageSetup paperSize="9"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sheetPr>
  <dimension ref="A1:H81"/>
  <sheetViews>
    <sheetView topLeftCell="A34" zoomScale="70" zoomScaleNormal="70" workbookViewId="0">
      <selection activeCell="A80" sqref="A80:A83"/>
    </sheetView>
  </sheetViews>
  <sheetFormatPr defaultRowHeight="15"/>
  <cols>
    <col min="1" max="1" width="20.28515625" bestFit="1" customWidth="1"/>
    <col min="2" max="2" width="52.85546875" bestFit="1" customWidth="1"/>
    <col min="3" max="3" width="9.140625" bestFit="1" customWidth="1"/>
    <col min="4" max="4" width="14.85546875" bestFit="1" customWidth="1"/>
    <col min="5" max="5" width="57.85546875" bestFit="1" customWidth="1"/>
    <col min="6" max="6" width="72.28515625" customWidth="1"/>
    <col min="7" max="7" width="15.85546875" bestFit="1" customWidth="1"/>
    <col min="8" max="8" width="11" bestFit="1" customWidth="1"/>
    <col min="9" max="9" width="12.42578125" bestFit="1" customWidth="1"/>
    <col min="10" max="10" width="44.42578125" customWidth="1"/>
  </cols>
  <sheetData>
    <row r="1" spans="1:6">
      <c r="A1" s="2" t="s">
        <v>0</v>
      </c>
    </row>
    <row r="2" spans="1:6" ht="15.75" thickBot="1">
      <c r="B2" s="1" t="s">
        <v>1</v>
      </c>
      <c r="C2" s="1"/>
      <c r="D2" s="1" t="s">
        <v>2</v>
      </c>
      <c r="E2" s="1" t="s">
        <v>3</v>
      </c>
      <c r="F2" s="1" t="s">
        <v>4</v>
      </c>
    </row>
    <row r="3" spans="1:6">
      <c r="B3" t="s">
        <v>6</v>
      </c>
      <c r="D3">
        <v>2</v>
      </c>
      <c r="E3" t="s">
        <v>5</v>
      </c>
      <c r="F3" t="s">
        <v>12</v>
      </c>
    </row>
    <row r="4" spans="1:6">
      <c r="B4" t="s">
        <v>604</v>
      </c>
      <c r="D4">
        <v>2</v>
      </c>
      <c r="E4" t="s">
        <v>5</v>
      </c>
      <c r="F4" t="s">
        <v>12</v>
      </c>
    </row>
    <row r="5" spans="1:6">
      <c r="B5" t="s">
        <v>605</v>
      </c>
      <c r="D5">
        <v>0</v>
      </c>
      <c r="E5" t="s">
        <v>5</v>
      </c>
      <c r="F5" t="s">
        <v>606</v>
      </c>
    </row>
    <row r="6" spans="1:6">
      <c r="B6" t="s">
        <v>23</v>
      </c>
      <c r="D6">
        <v>1</v>
      </c>
      <c r="E6" t="s">
        <v>21</v>
      </c>
    </row>
    <row r="8" spans="1:6">
      <c r="A8" s="2" t="s">
        <v>11</v>
      </c>
    </row>
    <row r="9" spans="1:6" ht="15.75" thickBot="1">
      <c r="B9" s="1" t="s">
        <v>1</v>
      </c>
      <c r="C9" s="1"/>
      <c r="D9" s="1" t="s">
        <v>2</v>
      </c>
      <c r="E9" s="1" t="s">
        <v>3</v>
      </c>
      <c r="F9" s="1" t="s">
        <v>4</v>
      </c>
    </row>
    <row r="10" spans="1:6">
      <c r="B10" t="s">
        <v>24</v>
      </c>
      <c r="D10">
        <v>4.5999999999999996</v>
      </c>
      <c r="E10" s="13" t="s">
        <v>102</v>
      </c>
      <c r="F10" t="s">
        <v>103</v>
      </c>
    </row>
    <row r="11" spans="1:6">
      <c r="B11" t="s">
        <v>568</v>
      </c>
      <c r="D11">
        <v>0.05</v>
      </c>
      <c r="E11" t="s">
        <v>21</v>
      </c>
      <c r="F11" t="s">
        <v>105</v>
      </c>
    </row>
    <row r="12" spans="1:6">
      <c r="B12" t="s">
        <v>569</v>
      </c>
      <c r="D12">
        <v>7.0000000000000007E-2</v>
      </c>
      <c r="E12" t="s">
        <v>21</v>
      </c>
      <c r="F12" t="s">
        <v>107</v>
      </c>
    </row>
    <row r="13" spans="1:6">
      <c r="B13" t="s">
        <v>570</v>
      </c>
      <c r="D13">
        <v>0.05</v>
      </c>
      <c r="E13" s="13" t="s">
        <v>102</v>
      </c>
      <c r="F13" t="s">
        <v>105</v>
      </c>
    </row>
    <row r="14" spans="1:6">
      <c r="B14" t="s">
        <v>17</v>
      </c>
      <c r="D14">
        <v>7.0000000000000007E-2</v>
      </c>
      <c r="E14" t="s">
        <v>21</v>
      </c>
      <c r="F14" t="s">
        <v>45</v>
      </c>
    </row>
    <row r="15" spans="1:6">
      <c r="B15" t="s">
        <v>18</v>
      </c>
      <c r="D15">
        <v>0.18</v>
      </c>
      <c r="E15" t="s">
        <v>21</v>
      </c>
      <c r="F15" t="s">
        <v>45</v>
      </c>
    </row>
    <row r="16" spans="1:6">
      <c r="B16" t="s">
        <v>19</v>
      </c>
      <c r="D16">
        <v>0.25</v>
      </c>
      <c r="E16" t="s">
        <v>21</v>
      </c>
      <c r="F16" t="s">
        <v>46</v>
      </c>
    </row>
    <row r="17" spans="2:8">
      <c r="B17" t="s">
        <v>20</v>
      </c>
      <c r="D17">
        <v>0.5</v>
      </c>
      <c r="E17" t="s">
        <v>21</v>
      </c>
      <c r="F17" t="s">
        <v>47</v>
      </c>
    </row>
    <row r="18" spans="2:8">
      <c r="B18" t="s">
        <v>106</v>
      </c>
      <c r="D18">
        <v>0.05</v>
      </c>
      <c r="E18" s="13" t="s">
        <v>102</v>
      </c>
      <c r="F18" t="s">
        <v>107</v>
      </c>
    </row>
    <row r="19" spans="2:8">
      <c r="B19" t="s">
        <v>108</v>
      </c>
      <c r="D19">
        <v>0.3</v>
      </c>
      <c r="E19" s="13" t="s">
        <v>109</v>
      </c>
      <c r="F19" t="s">
        <v>110</v>
      </c>
      <c r="H19" s="17"/>
    </row>
    <row r="20" spans="2:8">
      <c r="B20" t="s">
        <v>111</v>
      </c>
      <c r="D20">
        <v>7.8</v>
      </c>
      <c r="E20" s="13" t="s">
        <v>112</v>
      </c>
      <c r="F20" t="s">
        <v>113</v>
      </c>
    </row>
    <row r="21" spans="2:8">
      <c r="B21" t="s">
        <v>114</v>
      </c>
      <c r="D21">
        <v>1</v>
      </c>
      <c r="E21" s="13" t="s">
        <v>21</v>
      </c>
      <c r="F21" t="s">
        <v>115</v>
      </c>
    </row>
    <row r="22" spans="2:8">
      <c r="B22" t="s">
        <v>116</v>
      </c>
      <c r="D22">
        <v>60</v>
      </c>
      <c r="E22" s="13" t="s">
        <v>109</v>
      </c>
      <c r="F22" t="s">
        <v>117</v>
      </c>
    </row>
    <row r="23" spans="2:8">
      <c r="B23" t="s">
        <v>118</v>
      </c>
      <c r="D23">
        <v>6</v>
      </c>
      <c r="E23" s="13" t="s">
        <v>49</v>
      </c>
      <c r="F23" t="s">
        <v>119</v>
      </c>
    </row>
    <row r="24" spans="2:8">
      <c r="B24" t="s">
        <v>120</v>
      </c>
      <c r="D24">
        <f>3*3*1+D10+1</f>
        <v>14.6</v>
      </c>
      <c r="E24" s="13" t="s">
        <v>48</v>
      </c>
      <c r="F24" t="s">
        <v>121</v>
      </c>
    </row>
    <row r="25" spans="2:8">
      <c r="B25" t="s">
        <v>122</v>
      </c>
      <c r="D25">
        <v>40</v>
      </c>
      <c r="E25" s="13" t="s">
        <v>123</v>
      </c>
      <c r="F25" t="s">
        <v>124</v>
      </c>
    </row>
    <row r="26" spans="2:8">
      <c r="B26" t="s">
        <v>125</v>
      </c>
      <c r="D26" s="9">
        <f>8/4.6</f>
        <v>1.7391304347826089</v>
      </c>
      <c r="E26" s="13" t="s">
        <v>123</v>
      </c>
      <c r="F26" t="s">
        <v>126</v>
      </c>
    </row>
    <row r="27" spans="2:8">
      <c r="B27" t="s">
        <v>127</v>
      </c>
      <c r="D27">
        <f>1/20</f>
        <v>0.05</v>
      </c>
      <c r="E27" s="13" t="s">
        <v>102</v>
      </c>
      <c r="F27" t="s">
        <v>128</v>
      </c>
      <c r="H27" s="17"/>
    </row>
    <row r="28" spans="2:8">
      <c r="B28" t="s">
        <v>129</v>
      </c>
      <c r="D28">
        <v>1</v>
      </c>
      <c r="E28" s="13" t="s">
        <v>102</v>
      </c>
      <c r="F28" t="s">
        <v>130</v>
      </c>
    </row>
    <row r="29" spans="2:8">
      <c r="B29" t="s">
        <v>13</v>
      </c>
      <c r="D29">
        <v>0.5</v>
      </c>
      <c r="E29" s="13" t="s">
        <v>102</v>
      </c>
      <c r="F29" t="s">
        <v>130</v>
      </c>
    </row>
    <row r="30" spans="2:8">
      <c r="B30" t="s">
        <v>15</v>
      </c>
      <c r="D30">
        <v>3.5</v>
      </c>
      <c r="E30" s="13" t="s">
        <v>102</v>
      </c>
      <c r="F30" t="s">
        <v>130</v>
      </c>
    </row>
    <row r="31" spans="2:8">
      <c r="B31" t="s">
        <v>131</v>
      </c>
      <c r="D31" s="9">
        <v>0.05</v>
      </c>
      <c r="E31" s="13" t="s">
        <v>132</v>
      </c>
      <c r="F31" t="s">
        <v>133</v>
      </c>
      <c r="G31" s="18"/>
      <c r="H31" s="17"/>
    </row>
    <row r="32" spans="2:8">
      <c r="B32" t="s">
        <v>134</v>
      </c>
      <c r="D32">
        <f>15*0.4*0.4</f>
        <v>2.4000000000000004</v>
      </c>
      <c r="E32" s="13" t="s">
        <v>48</v>
      </c>
      <c r="F32" t="s">
        <v>135</v>
      </c>
    </row>
    <row r="34" spans="1:6">
      <c r="A34" s="2" t="s">
        <v>136</v>
      </c>
    </row>
    <row r="35" spans="1:6">
      <c r="B35" t="s">
        <v>137</v>
      </c>
      <c r="D35">
        <f>D21*D27</f>
        <v>0.05</v>
      </c>
      <c r="E35" t="s">
        <v>5</v>
      </c>
    </row>
    <row r="36" spans="1:6">
      <c r="B36" t="s">
        <v>138</v>
      </c>
      <c r="D36">
        <f>(D6*D35)*((D3*D4)+D5)</f>
        <v>0.2</v>
      </c>
      <c r="E36" t="s">
        <v>5</v>
      </c>
    </row>
    <row r="37" spans="1:6">
      <c r="B37" t="s">
        <v>139</v>
      </c>
      <c r="D37">
        <f>D10+D21+D18+D13</f>
        <v>5.6999999999999993</v>
      </c>
      <c r="E37" t="s">
        <v>102</v>
      </c>
    </row>
    <row r="38" spans="1:6">
      <c r="B38" t="s">
        <v>140</v>
      </c>
      <c r="D38">
        <f>D37-D28</f>
        <v>4.6999999999999993</v>
      </c>
      <c r="E38" t="s">
        <v>102</v>
      </c>
    </row>
    <row r="39" spans="1:6">
      <c r="B39" t="s">
        <v>141</v>
      </c>
      <c r="D39">
        <f>D25*D38</f>
        <v>187.99999999999997</v>
      </c>
      <c r="E39" t="s">
        <v>102</v>
      </c>
    </row>
    <row r="40" spans="1:6">
      <c r="B40" t="s">
        <v>142</v>
      </c>
      <c r="D40">
        <f>D25*D37</f>
        <v>227.99999999999997</v>
      </c>
      <c r="E40" t="s">
        <v>102</v>
      </c>
    </row>
    <row r="41" spans="1:6">
      <c r="B41" t="s">
        <v>184</v>
      </c>
      <c r="D41" s="11">
        <f>SQRT((D40^2)+(D37^2))</f>
        <v>228.0712388706651</v>
      </c>
      <c r="E41" t="s">
        <v>102</v>
      </c>
    </row>
    <row r="42" spans="1:6">
      <c r="B42" t="s">
        <v>143</v>
      </c>
      <c r="D42">
        <f>D37*D26</f>
        <v>9.9130434782608692</v>
      </c>
      <c r="E42" t="s">
        <v>102</v>
      </c>
    </row>
    <row r="43" spans="1:6">
      <c r="B43" t="s">
        <v>144</v>
      </c>
      <c r="D43">
        <f>D3*(D4*D30+D5*D30+2*D29)</f>
        <v>16</v>
      </c>
      <c r="E43" t="s">
        <v>102</v>
      </c>
    </row>
    <row r="44" spans="1:6">
      <c r="B44" t="s">
        <v>145</v>
      </c>
      <c r="D44">
        <f>D43*D6</f>
        <v>16</v>
      </c>
      <c r="E44" t="s">
        <v>49</v>
      </c>
    </row>
    <row r="45" spans="1:6">
      <c r="B45" t="s">
        <v>146</v>
      </c>
      <c r="D45">
        <f>D40*D42*0.5*4</f>
        <v>4520.347826086956</v>
      </c>
      <c r="E45" t="s">
        <v>49</v>
      </c>
    </row>
    <row r="46" spans="1:6">
      <c r="B46" t="s">
        <v>147</v>
      </c>
      <c r="D46">
        <f>D39*D43*2</f>
        <v>6015.9999999999991</v>
      </c>
      <c r="E46" t="s">
        <v>49</v>
      </c>
    </row>
    <row r="47" spans="1:6">
      <c r="B47" t="s">
        <v>148</v>
      </c>
      <c r="D47">
        <f>(1/3)*D45*D37+D46*D38*0.5</f>
        <v>22726.260869565209</v>
      </c>
      <c r="E47" t="s">
        <v>48</v>
      </c>
      <c r="F47" t="s">
        <v>151</v>
      </c>
    </row>
    <row r="48" spans="1:6">
      <c r="B48" t="s">
        <v>149</v>
      </c>
      <c r="D48">
        <f>D43*D10</f>
        <v>73.599999999999994</v>
      </c>
      <c r="E48" t="s">
        <v>49</v>
      </c>
    </row>
    <row r="49" spans="1:8">
      <c r="B49" t="s">
        <v>150</v>
      </c>
      <c r="D49">
        <f>(D44*D31)</f>
        <v>0.8</v>
      </c>
      <c r="E49" t="s">
        <v>5</v>
      </c>
    </row>
    <row r="50" spans="1:8">
      <c r="B50" t="s">
        <v>612</v>
      </c>
      <c r="D50">
        <v>50</v>
      </c>
      <c r="E50" t="s">
        <v>21</v>
      </c>
    </row>
    <row r="52" spans="1:8">
      <c r="A52" s="2" t="s">
        <v>26</v>
      </c>
    </row>
    <row r="53" spans="1:8" ht="15.75" thickBot="1">
      <c r="B53" s="1" t="s">
        <v>1</v>
      </c>
      <c r="C53" s="1" t="s">
        <v>2</v>
      </c>
      <c r="D53" s="1" t="s">
        <v>3</v>
      </c>
      <c r="E53" s="1" t="s">
        <v>616</v>
      </c>
      <c r="F53" s="1" t="s">
        <v>4</v>
      </c>
      <c r="G53" s="1" t="s">
        <v>643</v>
      </c>
      <c r="H53" s="1" t="s">
        <v>3</v>
      </c>
    </row>
    <row r="54" spans="1:8">
      <c r="A54" s="31" t="s">
        <v>166</v>
      </c>
      <c r="B54" s="32" t="s">
        <v>152</v>
      </c>
      <c r="C54" s="33">
        <f>D49*D32</f>
        <v>1.9200000000000004</v>
      </c>
      <c r="D54" s="31" t="s">
        <v>48</v>
      </c>
      <c r="E54" s="41" t="s">
        <v>670</v>
      </c>
      <c r="F54" s="31" t="s">
        <v>681</v>
      </c>
      <c r="G54" s="50">
        <f>15*D49</f>
        <v>12</v>
      </c>
      <c r="H54" s="51" t="s">
        <v>21</v>
      </c>
    </row>
    <row r="55" spans="1:8">
      <c r="A55" s="31" t="s">
        <v>167</v>
      </c>
      <c r="B55" s="32" t="s">
        <v>153</v>
      </c>
      <c r="C55" s="34">
        <f>D47</f>
        <v>22726.260869565209</v>
      </c>
      <c r="D55" s="31" t="s">
        <v>48</v>
      </c>
      <c r="E55" s="41" t="s">
        <v>699</v>
      </c>
      <c r="F55" s="31"/>
      <c r="G55" s="50">
        <f>C55</f>
        <v>22726.260869565209</v>
      </c>
      <c r="H55" s="51" t="s">
        <v>48</v>
      </c>
    </row>
    <row r="56" spans="1:8">
      <c r="A56" s="31" t="s">
        <v>38</v>
      </c>
      <c r="B56" s="32" t="s">
        <v>154</v>
      </c>
      <c r="C56" s="34">
        <f>D48</f>
        <v>73.599999999999994</v>
      </c>
      <c r="D56" s="31" t="s">
        <v>49</v>
      </c>
      <c r="E56" s="32" t="s">
        <v>634</v>
      </c>
      <c r="F56" s="32" t="s">
        <v>155</v>
      </c>
      <c r="G56" s="50">
        <f>C56</f>
        <v>73.599999999999994</v>
      </c>
      <c r="H56" s="51" t="s">
        <v>49</v>
      </c>
    </row>
    <row r="57" spans="1:8">
      <c r="A57" s="31"/>
      <c r="B57" s="32" t="s">
        <v>156</v>
      </c>
      <c r="C57" s="36">
        <f>D43*2*D23*((100-D19)/100)</f>
        <v>191.42400000000001</v>
      </c>
      <c r="D57" s="31" t="s">
        <v>48</v>
      </c>
      <c r="E57" s="32" t="s">
        <v>617</v>
      </c>
      <c r="F57" s="32" t="s">
        <v>618</v>
      </c>
      <c r="G57" s="50">
        <f>C57</f>
        <v>191.42400000000001</v>
      </c>
      <c r="H57" s="51" t="s">
        <v>48</v>
      </c>
    </row>
    <row r="58" spans="1:8">
      <c r="A58" s="31"/>
      <c r="B58" s="32" t="s">
        <v>158</v>
      </c>
      <c r="C58" s="36">
        <f>D43*2*D23*(D19/100)*D20</f>
        <v>4.4928000000000008</v>
      </c>
      <c r="D58" s="31" t="s">
        <v>159</v>
      </c>
      <c r="E58" s="32" t="s">
        <v>620</v>
      </c>
      <c r="F58" s="32"/>
      <c r="G58" s="50">
        <f>C58*1000</f>
        <v>4492.8000000000011</v>
      </c>
      <c r="H58" s="51" t="s">
        <v>644</v>
      </c>
    </row>
    <row r="59" spans="1:8">
      <c r="A59" s="31" t="s">
        <v>39</v>
      </c>
      <c r="B59" s="32" t="s">
        <v>160</v>
      </c>
      <c r="C59" s="37">
        <f>D44*D21*((100-D22)/100)*((100-D19)/100)</f>
        <v>6.3808000000000007</v>
      </c>
      <c r="D59" s="31" t="s">
        <v>48</v>
      </c>
      <c r="E59" s="32" t="s">
        <v>617</v>
      </c>
      <c r="F59" s="32" t="s">
        <v>618</v>
      </c>
      <c r="G59" s="50">
        <f t="shared" ref="G59:G77" si="0">C59</f>
        <v>6.3808000000000007</v>
      </c>
      <c r="H59" s="51" t="s">
        <v>48</v>
      </c>
    </row>
    <row r="60" spans="1:8">
      <c r="A60" s="31"/>
      <c r="B60" s="32" t="s">
        <v>161</v>
      </c>
      <c r="C60" s="37">
        <f>D44*D21*((100-D22)/100)*(D19/100)*D20</f>
        <v>0.14976</v>
      </c>
      <c r="D60" s="31" t="s">
        <v>159</v>
      </c>
      <c r="E60" s="32" t="s">
        <v>619</v>
      </c>
      <c r="F60" s="32"/>
      <c r="G60" s="50">
        <f>C60*1000</f>
        <v>149.76</v>
      </c>
      <c r="H60" s="51" t="s">
        <v>644</v>
      </c>
    </row>
    <row r="61" spans="1:8">
      <c r="A61" s="31"/>
      <c r="B61" s="41" t="s">
        <v>162</v>
      </c>
      <c r="C61" s="37">
        <f>D36*D24*((100-D19)/100)</f>
        <v>2.9112399999999998</v>
      </c>
      <c r="D61" s="39" t="s">
        <v>48</v>
      </c>
      <c r="E61" s="41" t="s">
        <v>617</v>
      </c>
      <c r="F61" s="41" t="s">
        <v>618</v>
      </c>
      <c r="G61" s="50">
        <f t="shared" si="0"/>
        <v>2.9112399999999998</v>
      </c>
      <c r="H61" s="51" t="s">
        <v>48</v>
      </c>
    </row>
    <row r="62" spans="1:8">
      <c r="A62" s="31"/>
      <c r="B62" s="41" t="s">
        <v>163</v>
      </c>
      <c r="C62" s="84">
        <f>D36*D24*(D19/100)*D20</f>
        <v>6.8328E-2</v>
      </c>
      <c r="D62" s="39" t="s">
        <v>159</v>
      </c>
      <c r="E62" s="41" t="s">
        <v>620</v>
      </c>
      <c r="F62" s="41"/>
      <c r="G62" s="50">
        <f>C62*1000</f>
        <v>68.328000000000003</v>
      </c>
      <c r="H62" s="51" t="s">
        <v>644</v>
      </c>
    </row>
    <row r="63" spans="1:8">
      <c r="A63" s="31" t="s">
        <v>168</v>
      </c>
      <c r="B63" s="41" t="s">
        <v>27</v>
      </c>
      <c r="C63" s="44">
        <f>D44*D11</f>
        <v>0.8</v>
      </c>
      <c r="D63" s="39" t="s">
        <v>48</v>
      </c>
      <c r="E63" s="41" t="s">
        <v>635</v>
      </c>
      <c r="F63" s="41" t="s">
        <v>645</v>
      </c>
      <c r="G63" s="50">
        <f>C63*2.5*1000</f>
        <v>2000</v>
      </c>
      <c r="H63" s="51" t="s">
        <v>644</v>
      </c>
    </row>
    <row r="64" spans="1:8">
      <c r="A64" s="31"/>
      <c r="B64" s="41" t="s">
        <v>601</v>
      </c>
      <c r="C64" s="41">
        <f>D44</f>
        <v>16</v>
      </c>
      <c r="D64" s="41" t="s">
        <v>49</v>
      </c>
      <c r="E64" s="13" t="s">
        <v>668</v>
      </c>
      <c r="F64" s="39" t="s">
        <v>603</v>
      </c>
      <c r="G64" s="50">
        <f>C64</f>
        <v>16</v>
      </c>
      <c r="H64" s="51" t="s">
        <v>49</v>
      </c>
    </row>
    <row r="65" spans="1:8">
      <c r="A65" s="31"/>
      <c r="B65" s="41" t="s">
        <v>164</v>
      </c>
      <c r="C65" s="44">
        <f>D44*(D12)</f>
        <v>1.1200000000000001</v>
      </c>
      <c r="D65" s="39" t="s">
        <v>48</v>
      </c>
      <c r="E65" s="41" t="s">
        <v>660</v>
      </c>
      <c r="F65" s="41" t="s">
        <v>645</v>
      </c>
      <c r="G65" s="50">
        <f>C65*2.5*1000</f>
        <v>2800.0000000000005</v>
      </c>
      <c r="H65" s="51" t="s">
        <v>644</v>
      </c>
    </row>
    <row r="66" spans="1:8">
      <c r="A66" s="31"/>
      <c r="B66" s="41" t="s">
        <v>306</v>
      </c>
      <c r="C66" s="80">
        <f>2*(2*D6+(0.25*(D4-1)*D6))/1000</f>
        <v>4.4999999999999997E-3</v>
      </c>
      <c r="D66" s="39" t="s">
        <v>10</v>
      </c>
      <c r="E66" s="41" t="s">
        <v>621</v>
      </c>
      <c r="F66" s="41"/>
      <c r="G66" s="50">
        <f>C66*1000</f>
        <v>4.5</v>
      </c>
      <c r="H66" s="51" t="s">
        <v>21</v>
      </c>
    </row>
    <row r="67" spans="1:8">
      <c r="A67" s="31" t="s">
        <v>169</v>
      </c>
      <c r="B67" s="41" t="s">
        <v>622</v>
      </c>
      <c r="C67" s="42">
        <f>(D3-1)*(2*D41)</f>
        <v>456.1424777413302</v>
      </c>
      <c r="D67" s="41" t="s">
        <v>102</v>
      </c>
      <c r="E67" s="41" t="s">
        <v>696</v>
      </c>
      <c r="F67" s="41" t="s">
        <v>637</v>
      </c>
      <c r="G67" s="50">
        <f t="shared" si="0"/>
        <v>456.1424777413302</v>
      </c>
      <c r="H67" s="51" t="s">
        <v>21</v>
      </c>
    </row>
    <row r="68" spans="1:8">
      <c r="A68" s="32"/>
      <c r="B68" s="41" t="s">
        <v>185</v>
      </c>
      <c r="C68" s="42">
        <f>2*(2*D41)</f>
        <v>912.28495548266039</v>
      </c>
      <c r="D68" s="41" t="s">
        <v>102</v>
      </c>
      <c r="E68" s="41" t="s">
        <v>696</v>
      </c>
      <c r="F68" s="41"/>
      <c r="G68" s="50">
        <f t="shared" si="0"/>
        <v>912.28495548266039</v>
      </c>
      <c r="H68" s="51" t="s">
        <v>21</v>
      </c>
    </row>
    <row r="69" spans="1:8">
      <c r="A69" s="32" t="s">
        <v>567</v>
      </c>
      <c r="B69" s="41" t="s">
        <v>165</v>
      </c>
      <c r="C69" s="43">
        <f>2*D6</f>
        <v>2</v>
      </c>
      <c r="D69" s="41" t="s">
        <v>102</v>
      </c>
      <c r="E69" s="41" t="s">
        <v>646</v>
      </c>
      <c r="F69" s="41"/>
      <c r="G69" s="50">
        <f t="shared" si="0"/>
        <v>2</v>
      </c>
      <c r="H69" s="51" t="s">
        <v>21</v>
      </c>
    </row>
    <row r="70" spans="1:8">
      <c r="A70" s="32"/>
      <c r="B70" s="41" t="s">
        <v>622</v>
      </c>
      <c r="C70" s="43">
        <f>(D3-1)*(D6)</f>
        <v>1</v>
      </c>
      <c r="D70" s="41" t="s">
        <v>102</v>
      </c>
      <c r="E70" s="41" t="s">
        <v>696</v>
      </c>
      <c r="F70" s="41" t="s">
        <v>637</v>
      </c>
      <c r="G70" s="50">
        <f t="shared" si="0"/>
        <v>1</v>
      </c>
      <c r="H70" s="51" t="s">
        <v>21</v>
      </c>
    </row>
    <row r="71" spans="1:8">
      <c r="A71" s="32" t="s">
        <v>183</v>
      </c>
      <c r="B71" s="41" t="s">
        <v>27</v>
      </c>
      <c r="C71" s="42">
        <f>2*(D43*D3*D41*(D13+0.02))</f>
        <v>1021.7591501405798</v>
      </c>
      <c r="D71" s="41" t="s">
        <v>48</v>
      </c>
      <c r="E71" s="41" t="s">
        <v>635</v>
      </c>
      <c r="F71" s="41" t="s">
        <v>645</v>
      </c>
      <c r="G71" s="50">
        <f>C71*2.5*1000</f>
        <v>2554397.8753514495</v>
      </c>
      <c r="H71" s="51" t="s">
        <v>644</v>
      </c>
    </row>
    <row r="72" spans="1:8">
      <c r="A72" s="32"/>
      <c r="B72" s="41" t="s">
        <v>29</v>
      </c>
      <c r="C72" s="42">
        <f>2*(D43*D3*D41*(D14+D15))</f>
        <v>3649.1398219306416</v>
      </c>
      <c r="D72" s="41" t="s">
        <v>48</v>
      </c>
      <c r="E72" s="41" t="s">
        <v>638</v>
      </c>
      <c r="F72" s="41" t="s">
        <v>645</v>
      </c>
      <c r="G72" s="50">
        <f>C72*2.5*1000</f>
        <v>9122849.5548266042</v>
      </c>
      <c r="H72" s="51" t="s">
        <v>644</v>
      </c>
    </row>
    <row r="73" spans="1:8">
      <c r="A73" s="32"/>
      <c r="B73" s="41" t="s">
        <v>601</v>
      </c>
      <c r="C73" s="42">
        <f>2*(D43*D3*D41)*2</f>
        <v>29193.118575445133</v>
      </c>
      <c r="D73" s="41" t="s">
        <v>49</v>
      </c>
      <c r="E73" s="13" t="s">
        <v>668</v>
      </c>
      <c r="F73" s="39" t="s">
        <v>602</v>
      </c>
      <c r="G73" s="50">
        <f>C73</f>
        <v>29193.118575445133</v>
      </c>
      <c r="H73" s="51" t="s">
        <v>49</v>
      </c>
    </row>
    <row r="74" spans="1:8">
      <c r="A74" s="32"/>
      <c r="B74" s="32" t="s">
        <v>30</v>
      </c>
      <c r="C74" s="38">
        <f>2*(D43*D3*D41)</f>
        <v>14596.559287722566</v>
      </c>
      <c r="D74" s="32" t="s">
        <v>49</v>
      </c>
      <c r="E74" s="32" t="s">
        <v>623</v>
      </c>
      <c r="F74" s="32"/>
      <c r="G74" s="50">
        <f>C74*0.25</f>
        <v>3649.1398219306416</v>
      </c>
      <c r="H74" s="51" t="s">
        <v>48</v>
      </c>
    </row>
    <row r="75" spans="1:8">
      <c r="A75" s="32"/>
      <c r="B75" s="32" t="s">
        <v>31</v>
      </c>
      <c r="C75" s="42">
        <f>2*(D43*D3*D41*D17)</f>
        <v>7298.2796438612831</v>
      </c>
      <c r="D75" s="41" t="s">
        <v>48</v>
      </c>
      <c r="E75" s="41" t="s">
        <v>639</v>
      </c>
      <c r="F75" s="32"/>
      <c r="G75" s="50">
        <f t="shared" si="0"/>
        <v>7298.2796438612831</v>
      </c>
      <c r="H75" s="51" t="s">
        <v>48</v>
      </c>
    </row>
    <row r="76" spans="1:8">
      <c r="A76" s="32"/>
      <c r="B76" s="32" t="s">
        <v>306</v>
      </c>
      <c r="C76" s="44">
        <f>2*(2*D41+(0.25*(D4-1)*D41))/1000</f>
        <v>1.0263205749179929</v>
      </c>
      <c r="D76" s="41" t="s">
        <v>10</v>
      </c>
      <c r="E76" s="41" t="s">
        <v>621</v>
      </c>
      <c r="F76" s="32"/>
      <c r="G76" s="50">
        <f>C76*1000</f>
        <v>1026.3205749179929</v>
      </c>
      <c r="H76" s="51" t="s">
        <v>21</v>
      </c>
    </row>
    <row r="77" spans="1:8">
      <c r="A77" s="32"/>
      <c r="B77" s="32"/>
      <c r="C77" s="32"/>
      <c r="D77" s="32"/>
      <c r="E77" s="32"/>
      <c r="F77" s="32"/>
      <c r="G77" s="50">
        <f t="shared" si="0"/>
        <v>0</v>
      </c>
      <c r="H77" s="51"/>
    </row>
    <row r="78" spans="1:8">
      <c r="A78" s="32" t="s">
        <v>610</v>
      </c>
      <c r="B78" s="32" t="s">
        <v>610</v>
      </c>
      <c r="C78" s="41">
        <f>ROUNDUP(D6/$D$50,0)*2</f>
        <v>2</v>
      </c>
      <c r="D78" s="41" t="s">
        <v>393</v>
      </c>
      <c r="E78" s="41" t="s">
        <v>624</v>
      </c>
      <c r="F78" s="32" t="s">
        <v>640</v>
      </c>
      <c r="G78" s="52">
        <f>(D6/$D$50)*2*2</f>
        <v>0.08</v>
      </c>
      <c r="H78" s="51"/>
    </row>
    <row r="80" spans="1:8">
      <c r="A80" s="89"/>
    </row>
    <row r="81" spans="1:1">
      <c r="A81" s="87"/>
    </row>
  </sheetData>
  <phoneticPr fontId="23" type="noConversion"/>
  <pageMargins left="0.7" right="0.7" top="0.75" bottom="0.75" header="0.3" footer="0.3"/>
  <pageSetup paperSize="9"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tabColor theme="5"/>
  </sheetPr>
  <dimension ref="A1:H81"/>
  <sheetViews>
    <sheetView zoomScale="70" zoomScaleNormal="70" workbookViewId="0">
      <selection activeCell="A80" sqref="A80:A81"/>
    </sheetView>
  </sheetViews>
  <sheetFormatPr defaultRowHeight="15"/>
  <cols>
    <col min="1" max="1" width="20.28515625" bestFit="1" customWidth="1"/>
    <col min="2" max="2" width="52.85546875" bestFit="1" customWidth="1"/>
    <col min="3" max="3" width="9.140625" bestFit="1" customWidth="1"/>
    <col min="4" max="4" width="14.85546875" bestFit="1" customWidth="1"/>
    <col min="5" max="5" width="57.85546875" bestFit="1" customWidth="1"/>
    <col min="6" max="6" width="66.28515625" customWidth="1"/>
    <col min="7" max="7" width="15.85546875" bestFit="1" customWidth="1"/>
    <col min="8" max="8" width="11" bestFit="1" customWidth="1"/>
    <col min="9" max="9" width="12.85546875" customWidth="1"/>
    <col min="10" max="10" width="47.28515625" customWidth="1"/>
  </cols>
  <sheetData>
    <row r="1" spans="1:6">
      <c r="A1" s="2" t="s">
        <v>0</v>
      </c>
    </row>
    <row r="2" spans="1:6" ht="15.75" thickBot="1">
      <c r="B2" s="1" t="s">
        <v>1</v>
      </c>
      <c r="C2" s="1"/>
      <c r="D2" s="1" t="s">
        <v>2</v>
      </c>
      <c r="E2" s="1" t="s">
        <v>3</v>
      </c>
      <c r="F2" s="1" t="s">
        <v>4</v>
      </c>
    </row>
    <row r="3" spans="1:6">
      <c r="B3" t="s">
        <v>6</v>
      </c>
      <c r="D3">
        <v>2</v>
      </c>
      <c r="E3" t="s">
        <v>5</v>
      </c>
      <c r="F3" t="s">
        <v>12</v>
      </c>
    </row>
    <row r="4" spans="1:6">
      <c r="B4" t="s">
        <v>7</v>
      </c>
      <c r="D4">
        <v>3</v>
      </c>
      <c r="E4" t="s">
        <v>5</v>
      </c>
      <c r="F4" t="s">
        <v>12</v>
      </c>
    </row>
    <row r="5" spans="1:6">
      <c r="B5" t="s">
        <v>8</v>
      </c>
      <c r="D5">
        <v>0</v>
      </c>
      <c r="E5" t="s">
        <v>5</v>
      </c>
    </row>
    <row r="6" spans="1:6">
      <c r="B6" t="s">
        <v>23</v>
      </c>
      <c r="D6">
        <v>1</v>
      </c>
      <c r="E6" t="s">
        <v>21</v>
      </c>
    </row>
    <row r="8" spans="1:6">
      <c r="A8" s="2" t="s">
        <v>11</v>
      </c>
    </row>
    <row r="9" spans="1:6" ht="15.75" thickBot="1">
      <c r="B9" s="1" t="s">
        <v>1</v>
      </c>
      <c r="C9" s="1"/>
      <c r="D9" s="1" t="s">
        <v>2</v>
      </c>
      <c r="E9" s="1" t="s">
        <v>3</v>
      </c>
      <c r="F9" s="1" t="s">
        <v>4</v>
      </c>
    </row>
    <row r="10" spans="1:6">
      <c r="B10" t="s">
        <v>24</v>
      </c>
      <c r="D10">
        <v>4.5999999999999996</v>
      </c>
      <c r="E10" s="13" t="s">
        <v>102</v>
      </c>
      <c r="F10" t="s">
        <v>103</v>
      </c>
    </row>
    <row r="11" spans="1:6">
      <c r="B11" t="s">
        <v>568</v>
      </c>
      <c r="D11">
        <v>0.05</v>
      </c>
      <c r="E11" t="s">
        <v>21</v>
      </c>
      <c r="F11" t="s">
        <v>105</v>
      </c>
    </row>
    <row r="12" spans="1:6">
      <c r="B12" t="s">
        <v>569</v>
      </c>
      <c r="D12">
        <v>7.0000000000000007E-2</v>
      </c>
      <c r="E12" t="s">
        <v>21</v>
      </c>
      <c r="F12" t="s">
        <v>107</v>
      </c>
    </row>
    <row r="13" spans="1:6">
      <c r="B13" t="s">
        <v>570</v>
      </c>
      <c r="D13">
        <v>0.05</v>
      </c>
      <c r="E13" s="13" t="s">
        <v>102</v>
      </c>
      <c r="F13" t="s">
        <v>105</v>
      </c>
    </row>
    <row r="14" spans="1:6">
      <c r="B14" t="s">
        <v>17</v>
      </c>
      <c r="D14">
        <v>7.0000000000000007E-2</v>
      </c>
      <c r="E14" t="s">
        <v>21</v>
      </c>
      <c r="F14" t="s">
        <v>45</v>
      </c>
    </row>
    <row r="15" spans="1:6">
      <c r="B15" t="s">
        <v>18</v>
      </c>
      <c r="D15">
        <v>0.18</v>
      </c>
      <c r="E15" t="s">
        <v>21</v>
      </c>
      <c r="F15" t="s">
        <v>45</v>
      </c>
    </row>
    <row r="16" spans="1:6">
      <c r="B16" t="s">
        <v>19</v>
      </c>
      <c r="D16">
        <v>0.25</v>
      </c>
      <c r="E16" t="s">
        <v>21</v>
      </c>
      <c r="F16" t="s">
        <v>46</v>
      </c>
    </row>
    <row r="17" spans="2:8">
      <c r="B17" t="s">
        <v>20</v>
      </c>
      <c r="D17">
        <v>0.5</v>
      </c>
      <c r="E17" t="s">
        <v>21</v>
      </c>
      <c r="F17" t="s">
        <v>47</v>
      </c>
    </row>
    <row r="18" spans="2:8">
      <c r="B18" t="s">
        <v>106</v>
      </c>
      <c r="D18">
        <v>0.05</v>
      </c>
      <c r="E18" s="13" t="s">
        <v>102</v>
      </c>
      <c r="F18" t="s">
        <v>107</v>
      </c>
    </row>
    <row r="19" spans="2:8">
      <c r="B19" t="s">
        <v>108</v>
      </c>
      <c r="D19">
        <v>0.3</v>
      </c>
      <c r="E19" s="13" t="s">
        <v>109</v>
      </c>
      <c r="F19" t="s">
        <v>110</v>
      </c>
      <c r="H19" s="17"/>
    </row>
    <row r="20" spans="2:8">
      <c r="B20" t="s">
        <v>111</v>
      </c>
      <c r="D20">
        <v>7.8</v>
      </c>
      <c r="E20" s="13" t="s">
        <v>112</v>
      </c>
      <c r="F20" t="s">
        <v>113</v>
      </c>
    </row>
    <row r="21" spans="2:8">
      <c r="B21" t="s">
        <v>114</v>
      </c>
      <c r="D21">
        <v>1</v>
      </c>
      <c r="E21" s="13" t="s">
        <v>21</v>
      </c>
      <c r="F21" t="s">
        <v>115</v>
      </c>
    </row>
    <row r="22" spans="2:8">
      <c r="B22" t="s">
        <v>116</v>
      </c>
      <c r="D22">
        <v>60</v>
      </c>
      <c r="E22" s="13" t="s">
        <v>109</v>
      </c>
      <c r="F22" t="s">
        <v>117</v>
      </c>
    </row>
    <row r="23" spans="2:8">
      <c r="B23" t="s">
        <v>118</v>
      </c>
      <c r="D23">
        <v>6</v>
      </c>
      <c r="E23" s="13" t="s">
        <v>49</v>
      </c>
      <c r="F23" t="s">
        <v>119</v>
      </c>
    </row>
    <row r="24" spans="2:8">
      <c r="B24" t="s">
        <v>120</v>
      </c>
      <c r="D24">
        <f>3*3*1+D10+1</f>
        <v>14.6</v>
      </c>
      <c r="E24" s="13" t="s">
        <v>48</v>
      </c>
      <c r="F24" t="s">
        <v>121</v>
      </c>
    </row>
    <row r="25" spans="2:8">
      <c r="B25" t="s">
        <v>122</v>
      </c>
      <c r="D25">
        <v>40</v>
      </c>
      <c r="E25" s="13" t="s">
        <v>123</v>
      </c>
      <c r="F25" t="s">
        <v>124</v>
      </c>
    </row>
    <row r="26" spans="2:8">
      <c r="B26" t="s">
        <v>125</v>
      </c>
      <c r="D26" s="9">
        <f>8/4.6</f>
        <v>1.7391304347826089</v>
      </c>
      <c r="E26" s="13" t="s">
        <v>123</v>
      </c>
      <c r="F26" t="s">
        <v>126</v>
      </c>
    </row>
    <row r="27" spans="2:8">
      <c r="B27" t="s">
        <v>127</v>
      </c>
      <c r="D27">
        <f>1/20</f>
        <v>0.05</v>
      </c>
      <c r="E27" s="13" t="s">
        <v>102</v>
      </c>
      <c r="F27" t="s">
        <v>128</v>
      </c>
      <c r="H27" s="17"/>
    </row>
    <row r="28" spans="2:8">
      <c r="B28" t="s">
        <v>129</v>
      </c>
      <c r="D28">
        <v>1</v>
      </c>
      <c r="E28" s="13" t="s">
        <v>102</v>
      </c>
      <c r="F28" t="s">
        <v>130</v>
      </c>
    </row>
    <row r="29" spans="2:8">
      <c r="B29" t="s">
        <v>13</v>
      </c>
      <c r="D29">
        <v>0.5</v>
      </c>
      <c r="E29" s="13" t="s">
        <v>102</v>
      </c>
      <c r="F29" t="s">
        <v>130</v>
      </c>
    </row>
    <row r="30" spans="2:8">
      <c r="B30" t="s">
        <v>15</v>
      </c>
      <c r="D30">
        <v>3.5</v>
      </c>
      <c r="E30" s="13" t="s">
        <v>102</v>
      </c>
      <c r="F30" t="s">
        <v>130</v>
      </c>
    </row>
    <row r="31" spans="2:8">
      <c r="B31" t="s">
        <v>131</v>
      </c>
      <c r="D31" s="9">
        <v>0.05</v>
      </c>
      <c r="E31" s="13" t="s">
        <v>132</v>
      </c>
      <c r="F31" t="s">
        <v>133</v>
      </c>
      <c r="G31" s="18"/>
      <c r="H31" s="17"/>
    </row>
    <row r="32" spans="2:8">
      <c r="B32" t="s">
        <v>134</v>
      </c>
      <c r="D32">
        <f>15*0.4*0.4</f>
        <v>2.4000000000000004</v>
      </c>
      <c r="E32" s="13" t="s">
        <v>48</v>
      </c>
      <c r="F32" t="s">
        <v>135</v>
      </c>
    </row>
    <row r="34" spans="1:6">
      <c r="A34" s="2" t="s">
        <v>136</v>
      </c>
    </row>
    <row r="35" spans="1:6">
      <c r="B35" t="s">
        <v>137</v>
      </c>
      <c r="D35">
        <f>D21*D27</f>
        <v>0.05</v>
      </c>
      <c r="E35" t="s">
        <v>5</v>
      </c>
    </row>
    <row r="36" spans="1:6">
      <c r="B36" t="s">
        <v>138</v>
      </c>
      <c r="D36">
        <f>(D6*D35)*((D3*D4)+D5)</f>
        <v>0.30000000000000004</v>
      </c>
      <c r="E36" t="s">
        <v>5</v>
      </c>
    </row>
    <row r="37" spans="1:6">
      <c r="B37" t="s">
        <v>139</v>
      </c>
      <c r="D37">
        <f>D10+D21+D18+D13</f>
        <v>5.6999999999999993</v>
      </c>
      <c r="E37" t="s">
        <v>102</v>
      </c>
    </row>
    <row r="38" spans="1:6">
      <c r="B38" t="s">
        <v>140</v>
      </c>
      <c r="D38">
        <f>D37-D28</f>
        <v>4.6999999999999993</v>
      </c>
      <c r="E38" t="s">
        <v>102</v>
      </c>
    </row>
    <row r="39" spans="1:6">
      <c r="B39" t="s">
        <v>141</v>
      </c>
      <c r="D39">
        <f>D25*D38</f>
        <v>187.99999999999997</v>
      </c>
      <c r="E39" t="s">
        <v>102</v>
      </c>
    </row>
    <row r="40" spans="1:6">
      <c r="B40" t="s">
        <v>142</v>
      </c>
      <c r="D40">
        <f>D25*D37</f>
        <v>227.99999999999997</v>
      </c>
      <c r="E40" t="s">
        <v>102</v>
      </c>
    </row>
    <row r="41" spans="1:6">
      <c r="B41" t="s">
        <v>184</v>
      </c>
      <c r="D41" s="11">
        <f>SQRT((D40^2)+(D37^2))</f>
        <v>228.0712388706651</v>
      </c>
      <c r="E41" t="s">
        <v>102</v>
      </c>
    </row>
    <row r="42" spans="1:6">
      <c r="B42" t="s">
        <v>143</v>
      </c>
      <c r="D42">
        <f>D37*D26</f>
        <v>9.9130434782608692</v>
      </c>
      <c r="E42" t="s">
        <v>102</v>
      </c>
    </row>
    <row r="43" spans="1:6">
      <c r="B43" t="s">
        <v>144</v>
      </c>
      <c r="D43">
        <f>D3*(D4*D30+D5*D30+2*D29)</f>
        <v>23</v>
      </c>
      <c r="E43" t="s">
        <v>102</v>
      </c>
    </row>
    <row r="44" spans="1:6">
      <c r="B44" t="s">
        <v>145</v>
      </c>
      <c r="D44">
        <f>D43*D6</f>
        <v>23</v>
      </c>
      <c r="E44" t="s">
        <v>49</v>
      </c>
    </row>
    <row r="45" spans="1:6">
      <c r="B45" t="s">
        <v>146</v>
      </c>
      <c r="D45">
        <f>D40*D42*0.5*4</f>
        <v>4520.347826086956</v>
      </c>
      <c r="E45" t="s">
        <v>49</v>
      </c>
    </row>
    <row r="46" spans="1:6">
      <c r="B46" t="s">
        <v>147</v>
      </c>
      <c r="D46">
        <f>D39*D43*2</f>
        <v>8647.9999999999982</v>
      </c>
      <c r="E46" t="s">
        <v>49</v>
      </c>
    </row>
    <row r="47" spans="1:6">
      <c r="B47" t="s">
        <v>148</v>
      </c>
      <c r="D47">
        <f>(1/3)*D45*D37+D46*D38*0.5</f>
        <v>28911.460869565206</v>
      </c>
      <c r="E47" t="s">
        <v>48</v>
      </c>
      <c r="F47" t="s">
        <v>151</v>
      </c>
    </row>
    <row r="48" spans="1:6">
      <c r="B48" t="s">
        <v>149</v>
      </c>
      <c r="D48">
        <f>D43*D10</f>
        <v>105.8</v>
      </c>
      <c r="E48" t="s">
        <v>49</v>
      </c>
    </row>
    <row r="49" spans="1:8">
      <c r="B49" t="s">
        <v>150</v>
      </c>
      <c r="D49">
        <f>(D44*D31)</f>
        <v>1.1500000000000001</v>
      </c>
      <c r="E49" t="s">
        <v>5</v>
      </c>
    </row>
    <row r="50" spans="1:8">
      <c r="B50" t="s">
        <v>612</v>
      </c>
      <c r="D50">
        <v>50</v>
      </c>
      <c r="E50" t="s">
        <v>21</v>
      </c>
    </row>
    <row r="52" spans="1:8">
      <c r="A52" s="2" t="s">
        <v>26</v>
      </c>
    </row>
    <row r="53" spans="1:8" ht="15.75" thickBot="1">
      <c r="B53" s="1" t="s">
        <v>1</v>
      </c>
      <c r="C53" s="1" t="s">
        <v>2</v>
      </c>
      <c r="D53" s="1" t="s">
        <v>3</v>
      </c>
      <c r="E53" s="1" t="s">
        <v>616</v>
      </c>
      <c r="F53" s="1" t="s">
        <v>4</v>
      </c>
      <c r="G53" s="1" t="s">
        <v>643</v>
      </c>
      <c r="H53" s="1" t="s">
        <v>3</v>
      </c>
    </row>
    <row r="54" spans="1:8">
      <c r="A54" s="49" t="s">
        <v>166</v>
      </c>
      <c r="B54" s="13" t="s">
        <v>152</v>
      </c>
      <c r="C54" s="27">
        <f>D49*D32</f>
        <v>2.7600000000000007</v>
      </c>
      <c r="D54" s="4" t="s">
        <v>48</v>
      </c>
      <c r="E54" s="40" t="s">
        <v>670</v>
      </c>
      <c r="F54" s="4" t="s">
        <v>681</v>
      </c>
      <c r="G54" s="29">
        <f>15*D49</f>
        <v>17.250000000000004</v>
      </c>
      <c r="H54" s="45" t="s">
        <v>21</v>
      </c>
    </row>
    <row r="55" spans="1:8">
      <c r="A55" s="49" t="s">
        <v>167</v>
      </c>
      <c r="B55" s="13" t="s">
        <v>153</v>
      </c>
      <c r="C55" s="14">
        <f>D47</f>
        <v>28911.460869565206</v>
      </c>
      <c r="D55" s="4" t="s">
        <v>48</v>
      </c>
      <c r="E55" s="40" t="s">
        <v>699</v>
      </c>
      <c r="F55" s="47"/>
      <c r="G55" s="29">
        <f>C55</f>
        <v>28911.460869565206</v>
      </c>
      <c r="H55" s="45" t="s">
        <v>48</v>
      </c>
    </row>
    <row r="56" spans="1:8">
      <c r="A56" s="49" t="s">
        <v>38</v>
      </c>
      <c r="B56" s="13" t="s">
        <v>154</v>
      </c>
      <c r="C56" s="14">
        <f>D48</f>
        <v>105.8</v>
      </c>
      <c r="D56" s="4" t="s">
        <v>49</v>
      </c>
      <c r="E56" s="35" t="s">
        <v>634</v>
      </c>
      <c r="F56" s="48" t="s">
        <v>155</v>
      </c>
      <c r="G56" s="29">
        <f>C56</f>
        <v>105.8</v>
      </c>
      <c r="H56" s="45" t="s">
        <v>49</v>
      </c>
    </row>
    <row r="57" spans="1:8" ht="30">
      <c r="A57" s="49"/>
      <c r="B57" s="13" t="s">
        <v>156</v>
      </c>
      <c r="C57" s="16">
        <f>D43*2*D23*((100-D19)/100)</f>
        <v>275.17200000000003</v>
      </c>
      <c r="D57" s="4" t="s">
        <v>48</v>
      </c>
      <c r="E57" s="35" t="s">
        <v>617</v>
      </c>
      <c r="F57" s="35" t="s">
        <v>618</v>
      </c>
      <c r="G57" s="29">
        <f>C57</f>
        <v>275.17200000000003</v>
      </c>
      <c r="H57" s="45" t="s">
        <v>48</v>
      </c>
    </row>
    <row r="58" spans="1:8">
      <c r="A58" s="49"/>
      <c r="B58" s="13" t="s">
        <v>158</v>
      </c>
      <c r="C58" s="26">
        <f>D43*2*D23*(D19/100)*D20</f>
        <v>6.4584000000000001</v>
      </c>
      <c r="D58" s="4" t="s">
        <v>159</v>
      </c>
      <c r="E58" s="35" t="s">
        <v>620</v>
      </c>
      <c r="F58" s="35"/>
      <c r="G58" s="29">
        <f>C58*1000</f>
        <v>6458.4000000000005</v>
      </c>
      <c r="H58" s="45" t="s">
        <v>644</v>
      </c>
    </row>
    <row r="59" spans="1:8" ht="30">
      <c r="A59" s="49" t="s">
        <v>39</v>
      </c>
      <c r="B59" s="13" t="s">
        <v>160</v>
      </c>
      <c r="C59" s="26">
        <f>D44*D21*((100-D22)/100)*((100-D19)/100)</f>
        <v>9.1724000000000014</v>
      </c>
      <c r="D59" s="4" t="s">
        <v>48</v>
      </c>
      <c r="E59" s="35" t="s">
        <v>617</v>
      </c>
      <c r="F59" s="35" t="s">
        <v>618</v>
      </c>
      <c r="G59" s="29">
        <f t="shared" ref="G59:G77" si="0">C59</f>
        <v>9.1724000000000014</v>
      </c>
      <c r="H59" s="45" t="s">
        <v>48</v>
      </c>
    </row>
    <row r="60" spans="1:8">
      <c r="A60" s="49"/>
      <c r="B60" s="13" t="s">
        <v>161</v>
      </c>
      <c r="C60" s="26">
        <f>D44*D21*((100-D22)/100)*(D19/100)*D20</f>
        <v>0.21528000000000003</v>
      </c>
      <c r="D60" s="4" t="s">
        <v>159</v>
      </c>
      <c r="E60" s="35" t="s">
        <v>619</v>
      </c>
      <c r="F60" s="35"/>
      <c r="G60" s="29">
        <f>C60*1000</f>
        <v>215.28000000000003</v>
      </c>
      <c r="H60" s="45" t="s">
        <v>644</v>
      </c>
    </row>
    <row r="61" spans="1:8" ht="30">
      <c r="A61" s="49"/>
      <c r="B61" s="13" t="s">
        <v>162</v>
      </c>
      <c r="C61" s="27">
        <f>D36*D24*((100-D19)/100)</f>
        <v>4.3668600000000009</v>
      </c>
      <c r="D61" s="4" t="s">
        <v>48</v>
      </c>
      <c r="E61" s="35" t="s">
        <v>617</v>
      </c>
      <c r="F61" s="35" t="s">
        <v>618</v>
      </c>
      <c r="G61" s="29">
        <f t="shared" si="0"/>
        <v>4.3668600000000009</v>
      </c>
      <c r="H61" s="45" t="s">
        <v>48</v>
      </c>
    </row>
    <row r="62" spans="1:8">
      <c r="A62" s="49"/>
      <c r="B62" s="13" t="s">
        <v>163</v>
      </c>
      <c r="C62" s="28">
        <f>D36*D24*(D19/100)*D20</f>
        <v>0.10249200000000001</v>
      </c>
      <c r="D62" s="4" t="s">
        <v>159</v>
      </c>
      <c r="E62" s="35" t="s">
        <v>620</v>
      </c>
      <c r="F62" s="35"/>
      <c r="G62" s="29">
        <f>C62*1000</f>
        <v>102.49200000000002</v>
      </c>
      <c r="H62" s="45" t="s">
        <v>644</v>
      </c>
    </row>
    <row r="63" spans="1:8">
      <c r="A63" s="49" t="s">
        <v>168</v>
      </c>
      <c r="B63" s="13" t="s">
        <v>27</v>
      </c>
      <c r="C63" s="9">
        <f>D44*D11</f>
        <v>1.1500000000000001</v>
      </c>
      <c r="D63" s="4" t="s">
        <v>48</v>
      </c>
      <c r="E63" s="40" t="s">
        <v>635</v>
      </c>
      <c r="F63" s="35" t="s">
        <v>645</v>
      </c>
      <c r="G63" s="29">
        <f>C63*2.5*1000</f>
        <v>2875.0000000000005</v>
      </c>
      <c r="H63" s="45" t="s">
        <v>644</v>
      </c>
    </row>
    <row r="64" spans="1:8">
      <c r="A64" s="49"/>
      <c r="B64" s="13" t="s">
        <v>601</v>
      </c>
      <c r="C64" s="13">
        <f>D44</f>
        <v>23</v>
      </c>
      <c r="D64" s="13" t="s">
        <v>49</v>
      </c>
      <c r="E64" s="13" t="s">
        <v>668</v>
      </c>
      <c r="F64" s="60" t="s">
        <v>603</v>
      </c>
      <c r="G64" s="54">
        <f>C64</f>
        <v>23</v>
      </c>
      <c r="H64" s="85" t="s">
        <v>49</v>
      </c>
    </row>
    <row r="65" spans="1:8">
      <c r="A65" s="49"/>
      <c r="B65" s="13" t="s">
        <v>164</v>
      </c>
      <c r="C65" s="61">
        <f>D44*(D12)</f>
        <v>1.61</v>
      </c>
      <c r="D65" s="49" t="s">
        <v>48</v>
      </c>
      <c r="E65" s="40" t="s">
        <v>660</v>
      </c>
      <c r="F65" s="40" t="s">
        <v>645</v>
      </c>
      <c r="G65" s="54">
        <f>C65*2.5*1000</f>
        <v>4025.0000000000005</v>
      </c>
      <c r="H65" s="85" t="s">
        <v>644</v>
      </c>
    </row>
    <row r="66" spans="1:8">
      <c r="A66" s="49"/>
      <c r="B66" s="13" t="s">
        <v>306</v>
      </c>
      <c r="C66" s="62">
        <f>2*(2*D6+(0.25*(D4-1)*D6))/1000</f>
        <v>5.0000000000000001E-3</v>
      </c>
      <c r="D66" s="49" t="s">
        <v>10</v>
      </c>
      <c r="E66" s="40" t="s">
        <v>621</v>
      </c>
      <c r="F66" s="40"/>
      <c r="G66" s="54">
        <f>C66*1000</f>
        <v>5</v>
      </c>
      <c r="H66" s="85" t="s">
        <v>21</v>
      </c>
    </row>
    <row r="67" spans="1:8">
      <c r="A67" s="49" t="s">
        <v>169</v>
      </c>
      <c r="B67" s="13" t="s">
        <v>622</v>
      </c>
      <c r="C67" s="30">
        <f>(D3-1)*(2*D41)</f>
        <v>456.1424777413302</v>
      </c>
      <c r="D67" s="13" t="s">
        <v>102</v>
      </c>
      <c r="E67" s="40" t="s">
        <v>696</v>
      </c>
      <c r="F67" s="40" t="s">
        <v>637</v>
      </c>
      <c r="G67" s="54">
        <f t="shared" si="0"/>
        <v>456.1424777413302</v>
      </c>
      <c r="H67" s="85" t="s">
        <v>21</v>
      </c>
    </row>
    <row r="68" spans="1:8">
      <c r="A68" s="13"/>
      <c r="B68" s="13" t="s">
        <v>185</v>
      </c>
      <c r="C68" s="30">
        <f>2*(2*D41)</f>
        <v>912.28495548266039</v>
      </c>
      <c r="D68" s="13" t="s">
        <v>102</v>
      </c>
      <c r="E68" s="40" t="s">
        <v>696</v>
      </c>
      <c r="F68" s="40"/>
      <c r="G68" s="54">
        <f t="shared" si="0"/>
        <v>912.28495548266039</v>
      </c>
      <c r="H68" s="85" t="s">
        <v>21</v>
      </c>
    </row>
    <row r="69" spans="1:8">
      <c r="A69" s="13" t="s">
        <v>567</v>
      </c>
      <c r="B69" s="13" t="s">
        <v>165</v>
      </c>
      <c r="C69" s="58">
        <f>2*D6</f>
        <v>2</v>
      </c>
      <c r="D69" s="13" t="s">
        <v>102</v>
      </c>
      <c r="E69" s="40" t="s">
        <v>646</v>
      </c>
      <c r="F69" s="40"/>
      <c r="G69" s="54">
        <f t="shared" si="0"/>
        <v>2</v>
      </c>
      <c r="H69" s="85" t="s">
        <v>21</v>
      </c>
    </row>
    <row r="70" spans="1:8">
      <c r="A70" s="13"/>
      <c r="B70" s="13" t="s">
        <v>622</v>
      </c>
      <c r="C70" s="58">
        <f>(D3-1)*(D6)</f>
        <v>1</v>
      </c>
      <c r="D70" s="13" t="s">
        <v>102</v>
      </c>
      <c r="E70" s="40" t="s">
        <v>696</v>
      </c>
      <c r="F70" s="40" t="s">
        <v>637</v>
      </c>
      <c r="G70" s="54">
        <f t="shared" si="0"/>
        <v>1</v>
      </c>
      <c r="H70" s="85" t="s">
        <v>21</v>
      </c>
    </row>
    <row r="71" spans="1:8">
      <c r="A71" s="13" t="s">
        <v>183</v>
      </c>
      <c r="B71" s="13" t="s">
        <v>27</v>
      </c>
      <c r="C71" s="30">
        <f>2*(D43*D3*D41*(D13+0.02))</f>
        <v>1468.7787783270835</v>
      </c>
      <c r="D71" s="13" t="s">
        <v>48</v>
      </c>
      <c r="E71" s="40" t="s">
        <v>635</v>
      </c>
      <c r="F71" s="40" t="s">
        <v>645</v>
      </c>
      <c r="G71" s="54">
        <f>C71*2.5*1000</f>
        <v>3671946.9458177085</v>
      </c>
      <c r="H71" s="85" t="s">
        <v>644</v>
      </c>
    </row>
    <row r="72" spans="1:8">
      <c r="A72" s="13"/>
      <c r="B72" s="13" t="s">
        <v>29</v>
      </c>
      <c r="C72" s="30">
        <f>2*(D43*D3*D41*(D14+D15))</f>
        <v>5245.6384940252974</v>
      </c>
      <c r="D72" s="13" t="s">
        <v>48</v>
      </c>
      <c r="E72" s="40" t="s">
        <v>638</v>
      </c>
      <c r="F72" s="40" t="s">
        <v>645</v>
      </c>
      <c r="G72" s="54">
        <f>C72*2.5*1000</f>
        <v>13114096.235063244</v>
      </c>
      <c r="H72" s="85" t="s">
        <v>644</v>
      </c>
    </row>
    <row r="73" spans="1:8">
      <c r="A73" s="13"/>
      <c r="B73" s="13" t="s">
        <v>601</v>
      </c>
      <c r="C73" s="30">
        <f>2*(D43*D3*D41)*2</f>
        <v>41965.107952202379</v>
      </c>
      <c r="D73" s="13" t="s">
        <v>49</v>
      </c>
      <c r="E73" s="13" t="s">
        <v>668</v>
      </c>
      <c r="F73" s="60" t="s">
        <v>602</v>
      </c>
      <c r="G73" s="54">
        <f>C73</f>
        <v>41965.107952202379</v>
      </c>
      <c r="H73" s="85" t="s">
        <v>49</v>
      </c>
    </row>
    <row r="74" spans="1:8">
      <c r="A74" s="13"/>
      <c r="B74" s="13" t="s">
        <v>30</v>
      </c>
      <c r="C74" s="30">
        <f>2*(D43*D3*D41)</f>
        <v>20982.55397610119</v>
      </c>
      <c r="D74" s="13" t="s">
        <v>49</v>
      </c>
      <c r="E74" s="40" t="s">
        <v>623</v>
      </c>
      <c r="F74" s="40"/>
      <c r="G74" s="54">
        <f>C74*0.25</f>
        <v>5245.6384940252974</v>
      </c>
      <c r="H74" s="85" t="s">
        <v>48</v>
      </c>
    </row>
    <row r="75" spans="1:8">
      <c r="A75" s="13"/>
      <c r="B75" s="13" t="s">
        <v>31</v>
      </c>
      <c r="C75" s="30">
        <f>2*(D43*D3*D41*D17)</f>
        <v>10491.276988050595</v>
      </c>
      <c r="D75" s="13" t="s">
        <v>48</v>
      </c>
      <c r="E75" s="40" t="s">
        <v>639</v>
      </c>
      <c r="F75" s="40"/>
      <c r="G75" s="29">
        <f t="shared" si="0"/>
        <v>10491.276988050595</v>
      </c>
      <c r="H75" s="45" t="s">
        <v>48</v>
      </c>
    </row>
    <row r="76" spans="1:8">
      <c r="A76" s="13"/>
      <c r="B76" s="13" t="s">
        <v>306</v>
      </c>
      <c r="C76" s="9">
        <f>2*(2*D41+(0.25*(D4-1)*D41))/1000</f>
        <v>1.1403561943533254</v>
      </c>
      <c r="D76" t="s">
        <v>10</v>
      </c>
      <c r="E76" s="40" t="s">
        <v>621</v>
      </c>
      <c r="F76" s="35"/>
      <c r="G76" s="29">
        <f>C76*1000</f>
        <v>1140.3561943533255</v>
      </c>
      <c r="H76" s="45" t="s">
        <v>21</v>
      </c>
    </row>
    <row r="77" spans="1:8">
      <c r="A77" s="13"/>
      <c r="B77" s="13"/>
      <c r="E77" s="32"/>
      <c r="F77" s="35"/>
      <c r="G77" s="29">
        <f t="shared" si="0"/>
        <v>0</v>
      </c>
      <c r="H77" s="45"/>
    </row>
    <row r="78" spans="1:8">
      <c r="A78" s="13" t="s">
        <v>610</v>
      </c>
      <c r="B78" s="13" t="s">
        <v>610</v>
      </c>
      <c r="C78">
        <f>ROUNDUP(D6/$D$50,0)*2</f>
        <v>2</v>
      </c>
      <c r="D78" t="s">
        <v>393</v>
      </c>
      <c r="E78" s="40" t="s">
        <v>624</v>
      </c>
      <c r="F78" s="35" t="s">
        <v>640</v>
      </c>
      <c r="G78" s="46">
        <f>(D6/$D$50)*2*2</f>
        <v>0.08</v>
      </c>
      <c r="H78" s="45"/>
    </row>
    <row r="80" spans="1:8">
      <c r="A80" s="89"/>
    </row>
    <row r="81" spans="1:1">
      <c r="A81" s="87"/>
    </row>
  </sheetData>
  <pageMargins left="0.7" right="0.7" top="0.75" bottom="0.75" header="0.3" footer="0.3"/>
  <pageSetup paperSize="9" orientation="portrait"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5"/>
  </sheetPr>
  <dimension ref="A1:J87"/>
  <sheetViews>
    <sheetView zoomScale="70" zoomScaleNormal="70" workbookViewId="0">
      <selection activeCell="A85" sqref="A85:A88"/>
    </sheetView>
  </sheetViews>
  <sheetFormatPr defaultRowHeight="15"/>
  <cols>
    <col min="1" max="1" width="20.28515625" bestFit="1" customWidth="1"/>
    <col min="2" max="2" width="52.85546875" bestFit="1" customWidth="1"/>
    <col min="3" max="3" width="9.140625" bestFit="1" customWidth="1"/>
    <col min="4" max="4" width="11" bestFit="1" customWidth="1"/>
    <col min="5" max="5" width="57.85546875" bestFit="1" customWidth="1"/>
    <col min="6" max="6" width="75.42578125" bestFit="1" customWidth="1"/>
    <col min="7" max="7" width="15.85546875" bestFit="1" customWidth="1"/>
    <col min="8" max="8" width="11" bestFit="1" customWidth="1"/>
    <col min="9" max="9" width="12" bestFit="1" customWidth="1"/>
  </cols>
  <sheetData>
    <row r="1" spans="1:6">
      <c r="A1" s="2" t="s">
        <v>0</v>
      </c>
    </row>
    <row r="2" spans="1:6" ht="15.75" thickBot="1">
      <c r="B2" s="1" t="s">
        <v>1</v>
      </c>
      <c r="C2" s="1"/>
      <c r="D2" s="1" t="s">
        <v>2</v>
      </c>
      <c r="E2" s="1" t="s">
        <v>3</v>
      </c>
      <c r="F2" s="1" t="s">
        <v>4</v>
      </c>
    </row>
    <row r="3" spans="1:6">
      <c r="B3" t="s">
        <v>328</v>
      </c>
      <c r="D3">
        <v>1</v>
      </c>
      <c r="E3" t="s">
        <v>5</v>
      </c>
      <c r="F3" t="s">
        <v>331</v>
      </c>
    </row>
    <row r="4" spans="1:6">
      <c r="B4" t="s">
        <v>329</v>
      </c>
      <c r="D4">
        <v>1</v>
      </c>
      <c r="E4" t="s">
        <v>5</v>
      </c>
      <c r="F4" t="s">
        <v>331</v>
      </c>
    </row>
    <row r="5" spans="1:6">
      <c r="B5" t="s">
        <v>330</v>
      </c>
      <c r="D5">
        <v>1</v>
      </c>
      <c r="E5" t="s">
        <v>5</v>
      </c>
      <c r="F5" t="s">
        <v>331</v>
      </c>
    </row>
    <row r="7" spans="1:6">
      <c r="A7" s="2" t="s">
        <v>11</v>
      </c>
    </row>
    <row r="8" spans="1:6" ht="15.75" thickBot="1">
      <c r="B8" s="1" t="s">
        <v>1</v>
      </c>
      <c r="C8" s="1"/>
      <c r="D8" s="1" t="s">
        <v>2</v>
      </c>
      <c r="E8" s="1" t="s">
        <v>3</v>
      </c>
      <c r="F8" s="1" t="s">
        <v>4</v>
      </c>
    </row>
    <row r="9" spans="1:6">
      <c r="B9" t="s">
        <v>15</v>
      </c>
      <c r="D9">
        <v>3.5</v>
      </c>
      <c r="E9" t="s">
        <v>21</v>
      </c>
    </row>
    <row r="10" spans="1:6">
      <c r="B10" t="s">
        <v>13</v>
      </c>
      <c r="D10">
        <v>0.6</v>
      </c>
      <c r="E10" t="s">
        <v>21</v>
      </c>
    </row>
    <row r="11" spans="1:6">
      <c r="B11" t="s">
        <v>316</v>
      </c>
      <c r="D11">
        <v>25</v>
      </c>
      <c r="E11" t="s">
        <v>22</v>
      </c>
    </row>
    <row r="13" spans="1:6">
      <c r="B13" t="s">
        <v>338</v>
      </c>
      <c r="D13">
        <v>6</v>
      </c>
      <c r="E13" t="s">
        <v>21</v>
      </c>
    </row>
    <row r="14" spans="1:6">
      <c r="B14" t="s">
        <v>311</v>
      </c>
      <c r="D14">
        <f>3/1</f>
        <v>3</v>
      </c>
      <c r="F14" t="s">
        <v>312</v>
      </c>
    </row>
    <row r="15" spans="1:6">
      <c r="B15" t="s">
        <v>313</v>
      </c>
      <c r="D15">
        <f>2*D9+2*1</f>
        <v>9</v>
      </c>
      <c r="E15" t="s">
        <v>21</v>
      </c>
      <c r="F15" t="s">
        <v>340</v>
      </c>
    </row>
    <row r="16" spans="1:6">
      <c r="B16" t="s">
        <v>314</v>
      </c>
      <c r="D16">
        <f>(D13*D15)+2*(0.5*(D13*D14)*D13)</f>
        <v>162</v>
      </c>
      <c r="E16" t="s">
        <v>48</v>
      </c>
    </row>
    <row r="17" spans="2:6">
      <c r="B17" t="s">
        <v>315</v>
      </c>
      <c r="D17">
        <f>D16/2/2</f>
        <v>40.5</v>
      </c>
      <c r="E17" t="s">
        <v>48</v>
      </c>
    </row>
    <row r="19" spans="2:6">
      <c r="B19" t="s">
        <v>16</v>
      </c>
      <c r="D19">
        <v>7.0000000000000007E-2</v>
      </c>
      <c r="E19" t="s">
        <v>21</v>
      </c>
    </row>
    <row r="20" spans="2:6">
      <c r="B20" t="s">
        <v>17</v>
      </c>
      <c r="D20">
        <v>7.0000000000000007E-2</v>
      </c>
      <c r="E20" t="s">
        <v>21</v>
      </c>
      <c r="F20" t="s">
        <v>45</v>
      </c>
    </row>
    <row r="21" spans="2:6">
      <c r="B21" t="s">
        <v>18</v>
      </c>
      <c r="D21">
        <v>0.18</v>
      </c>
      <c r="E21" t="s">
        <v>21</v>
      </c>
      <c r="F21" t="s">
        <v>45</v>
      </c>
    </row>
    <row r="22" spans="2:6">
      <c r="B22" t="s">
        <v>19</v>
      </c>
      <c r="D22">
        <v>0.25</v>
      </c>
      <c r="E22" t="s">
        <v>21</v>
      </c>
      <c r="F22" t="s">
        <v>46</v>
      </c>
    </row>
    <row r="23" spans="2:6">
      <c r="B23" t="s">
        <v>20</v>
      </c>
      <c r="D23">
        <v>0.5</v>
      </c>
      <c r="E23" t="s">
        <v>21</v>
      </c>
    </row>
    <row r="25" spans="2:6">
      <c r="B25" t="s">
        <v>333</v>
      </c>
      <c r="D25">
        <v>550</v>
      </c>
      <c r="E25" t="s">
        <v>21</v>
      </c>
    </row>
    <row r="26" spans="2:6">
      <c r="B26" t="s">
        <v>332</v>
      </c>
      <c r="D26">
        <v>1800</v>
      </c>
      <c r="E26" t="s">
        <v>21</v>
      </c>
    </row>
    <row r="27" spans="2:6">
      <c r="B27" t="s">
        <v>334</v>
      </c>
      <c r="D27">
        <v>350</v>
      </c>
      <c r="E27" t="s">
        <v>21</v>
      </c>
    </row>
    <row r="29" spans="2:6">
      <c r="B29" t="s">
        <v>198</v>
      </c>
      <c r="D29">
        <v>300</v>
      </c>
      <c r="E29" t="s">
        <v>21</v>
      </c>
    </row>
    <row r="30" spans="2:6">
      <c r="B30" t="s">
        <v>199</v>
      </c>
      <c r="D30">
        <v>200</v>
      </c>
      <c r="E30" t="s">
        <v>21</v>
      </c>
    </row>
    <row r="32" spans="2:6">
      <c r="B32" t="s">
        <v>612</v>
      </c>
      <c r="D32">
        <v>50</v>
      </c>
      <c r="E32" t="s">
        <v>21</v>
      </c>
    </row>
    <row r="35" spans="1:10">
      <c r="A35" s="2" t="s">
        <v>26</v>
      </c>
    </row>
    <row r="36" spans="1:10" ht="15.75" thickBot="1">
      <c r="B36" s="1" t="s">
        <v>1</v>
      </c>
      <c r="C36" s="1" t="s">
        <v>2</v>
      </c>
      <c r="D36" s="1" t="s">
        <v>3</v>
      </c>
      <c r="E36" s="1" t="s">
        <v>616</v>
      </c>
      <c r="F36" s="1" t="s">
        <v>4</v>
      </c>
      <c r="G36" s="1" t="s">
        <v>643</v>
      </c>
      <c r="H36" s="1" t="s">
        <v>3</v>
      </c>
    </row>
    <row r="38" spans="1:10">
      <c r="A38" t="s">
        <v>335</v>
      </c>
      <c r="B38" t="s">
        <v>27</v>
      </c>
      <c r="C38">
        <f>(2*$D$9+2*$D$10)*$D$19*D25</f>
        <v>315.7</v>
      </c>
      <c r="D38" t="s">
        <v>48</v>
      </c>
      <c r="E38" s="13" t="s">
        <v>635</v>
      </c>
      <c r="F38" s="13"/>
      <c r="G38" s="79">
        <f>C38*2.5*1000</f>
        <v>789250</v>
      </c>
      <c r="H38" s="13" t="s">
        <v>644</v>
      </c>
      <c r="J38" s="59"/>
    </row>
    <row r="39" spans="1:10">
      <c r="B39" t="s">
        <v>29</v>
      </c>
      <c r="C39">
        <f>(2*$D$9+2*$D$10)*($D$20+$D$21)*D25</f>
        <v>1127.5</v>
      </c>
      <c r="D39" t="s">
        <v>48</v>
      </c>
      <c r="E39" s="13" t="s">
        <v>638</v>
      </c>
      <c r="F39" s="13"/>
      <c r="G39" s="79">
        <f>C39*2.5*1000</f>
        <v>2818750</v>
      </c>
      <c r="H39" s="13" t="s">
        <v>644</v>
      </c>
      <c r="J39" s="59"/>
    </row>
    <row r="40" spans="1:10">
      <c r="B40" t="s">
        <v>30</v>
      </c>
      <c r="C40">
        <f>(2*$D$9+2*$D$10)*D25</f>
        <v>4510</v>
      </c>
      <c r="D40" t="s">
        <v>49</v>
      </c>
      <c r="E40" s="13" t="s">
        <v>623</v>
      </c>
      <c r="F40" s="13"/>
      <c r="G40" s="54">
        <f>C40*0.25</f>
        <v>1127.5</v>
      </c>
      <c r="H40" s="13" t="s">
        <v>48</v>
      </c>
      <c r="J40" s="59"/>
    </row>
    <row r="41" spans="1:10">
      <c r="B41" t="s">
        <v>601</v>
      </c>
      <c r="C41" s="15">
        <f>(2*$D$9+2*$D$10)*D25*2</f>
        <v>9020</v>
      </c>
      <c r="D41" t="s">
        <v>49</v>
      </c>
      <c r="E41" s="13" t="s">
        <v>668</v>
      </c>
      <c r="F41" s="49" t="s">
        <v>602</v>
      </c>
      <c r="G41" s="30">
        <f t="shared" ref="G41:G46" si="0">C41</f>
        <v>9020</v>
      </c>
      <c r="H41" s="13" t="s">
        <v>49</v>
      </c>
      <c r="J41" s="59"/>
    </row>
    <row r="42" spans="1:10">
      <c r="B42" t="s">
        <v>31</v>
      </c>
      <c r="C42">
        <f>($D$15)*$D$23*D25</f>
        <v>2475</v>
      </c>
      <c r="D42" t="s">
        <v>48</v>
      </c>
      <c r="E42" s="13" t="s">
        <v>639</v>
      </c>
      <c r="F42" s="13"/>
      <c r="G42" s="30">
        <f t="shared" si="0"/>
        <v>2475</v>
      </c>
      <c r="H42" s="13" t="s">
        <v>48</v>
      </c>
      <c r="J42" s="59"/>
    </row>
    <row r="43" spans="1:10">
      <c r="B43" t="s">
        <v>339</v>
      </c>
      <c r="C43">
        <f>0</f>
        <v>0</v>
      </c>
      <c r="D43" t="s">
        <v>48</v>
      </c>
      <c r="E43" s="13" t="s">
        <v>699</v>
      </c>
      <c r="F43" s="13" t="s">
        <v>341</v>
      </c>
      <c r="G43" s="30">
        <f t="shared" si="0"/>
        <v>0</v>
      </c>
      <c r="H43" s="13" t="s">
        <v>48</v>
      </c>
      <c r="J43" s="59"/>
    </row>
    <row r="44" spans="1:10">
      <c r="B44" t="s">
        <v>306</v>
      </c>
      <c r="C44">
        <f>D25*2+D25*($D$11/100)</f>
        <v>1237.5</v>
      </c>
      <c r="D44" t="s">
        <v>21</v>
      </c>
      <c r="E44" s="13" t="s">
        <v>621</v>
      </c>
      <c r="F44" s="13"/>
      <c r="G44" s="30">
        <f t="shared" si="0"/>
        <v>1237.5</v>
      </c>
      <c r="H44" s="13" t="s">
        <v>21</v>
      </c>
      <c r="J44" s="59"/>
    </row>
    <row r="45" spans="1:10">
      <c r="B45" t="s">
        <v>185</v>
      </c>
      <c r="C45">
        <f>D25*2</f>
        <v>1100</v>
      </c>
      <c r="D45" t="s">
        <v>21</v>
      </c>
      <c r="E45" s="13" t="s">
        <v>696</v>
      </c>
      <c r="F45" s="13"/>
      <c r="G45" s="13">
        <f t="shared" si="0"/>
        <v>1100</v>
      </c>
      <c r="H45" s="13" t="s">
        <v>21</v>
      </c>
      <c r="J45" s="59"/>
    </row>
    <row r="46" spans="1:10">
      <c r="B46" t="s">
        <v>610</v>
      </c>
      <c r="C46">
        <f>ROUNDUP(D25/$D$32,0)</f>
        <v>11</v>
      </c>
      <c r="D46" t="s">
        <v>393</v>
      </c>
      <c r="E46" s="13" t="s">
        <v>624</v>
      </c>
      <c r="F46" s="13" t="s">
        <v>701</v>
      </c>
      <c r="G46" s="13">
        <f t="shared" si="0"/>
        <v>11</v>
      </c>
      <c r="H46" s="13" t="s">
        <v>393</v>
      </c>
      <c r="J46" s="59"/>
    </row>
    <row r="47" spans="1:10">
      <c r="E47" s="13"/>
      <c r="F47" s="13"/>
      <c r="G47" s="13"/>
      <c r="H47" s="13"/>
      <c r="J47" s="59"/>
    </row>
    <row r="48" spans="1:10">
      <c r="A48" t="s">
        <v>336</v>
      </c>
      <c r="B48" t="s">
        <v>27</v>
      </c>
      <c r="C48">
        <f>(2*$D$9+2*$D$10)*$D$19*(D26-50)</f>
        <v>1004.4999999999999</v>
      </c>
      <c r="D48" t="s">
        <v>48</v>
      </c>
      <c r="E48" s="13" t="s">
        <v>635</v>
      </c>
      <c r="F48" s="13"/>
      <c r="G48" s="79">
        <f>C48*2.5*1000</f>
        <v>2511249.9999999995</v>
      </c>
      <c r="H48" s="13" t="s">
        <v>644</v>
      </c>
      <c r="J48" s="59"/>
    </row>
    <row r="49" spans="1:10">
      <c r="B49" t="s">
        <v>29</v>
      </c>
      <c r="C49">
        <f>(2*$D$9+2*$D$10)*($D$20+$D$21)*(D26-50)</f>
        <v>3587.4999999999995</v>
      </c>
      <c r="D49" t="s">
        <v>48</v>
      </c>
      <c r="E49" s="13" t="s">
        <v>638</v>
      </c>
      <c r="F49" s="13"/>
      <c r="G49" s="79">
        <f>C49*2.5*1000</f>
        <v>8968749.9999999981</v>
      </c>
      <c r="H49" s="13" t="s">
        <v>644</v>
      </c>
      <c r="J49" s="59"/>
    </row>
    <row r="50" spans="1:10">
      <c r="B50" t="s">
        <v>601</v>
      </c>
      <c r="C50" s="15">
        <f>(2*$D$9+2*$D$10)*(D26-50)*2</f>
        <v>28699.999999999996</v>
      </c>
      <c r="D50" t="s">
        <v>49</v>
      </c>
      <c r="E50" s="13" t="s">
        <v>668</v>
      </c>
      <c r="F50" s="49" t="s">
        <v>602</v>
      </c>
      <c r="G50" s="30">
        <f>C50</f>
        <v>28699.999999999996</v>
      </c>
      <c r="H50" s="13" t="s">
        <v>49</v>
      </c>
      <c r="J50" s="59"/>
    </row>
    <row r="51" spans="1:10">
      <c r="B51" t="s">
        <v>30</v>
      </c>
      <c r="C51">
        <f>(2*$D$9+2*$D$10)*(D26-50)</f>
        <v>14349.999999999998</v>
      </c>
      <c r="D51" t="s">
        <v>49</v>
      </c>
      <c r="E51" s="13" t="s">
        <v>623</v>
      </c>
      <c r="F51" s="13"/>
      <c r="G51" s="54">
        <f>C51*0.25</f>
        <v>3587.4999999999995</v>
      </c>
      <c r="H51" s="13" t="s">
        <v>48</v>
      </c>
      <c r="J51" s="59"/>
    </row>
    <row r="52" spans="1:10">
      <c r="B52" t="s">
        <v>31</v>
      </c>
      <c r="C52">
        <f>($D$15)*$D$23*(D26-50)</f>
        <v>7875</v>
      </c>
      <c r="D52" t="s">
        <v>48</v>
      </c>
      <c r="E52" s="13" t="s">
        <v>639</v>
      </c>
      <c r="F52" s="13"/>
      <c r="G52" s="30">
        <f>C52</f>
        <v>7875</v>
      </c>
      <c r="H52" s="13" t="s">
        <v>48</v>
      </c>
      <c r="J52" s="59"/>
    </row>
    <row r="53" spans="1:10">
      <c r="B53" t="s">
        <v>175</v>
      </c>
      <c r="C53">
        <f>D17*300*2</f>
        <v>24300</v>
      </c>
      <c r="D53" t="s">
        <v>48</v>
      </c>
      <c r="E53" s="13" t="s">
        <v>699</v>
      </c>
      <c r="F53" s="13" t="s">
        <v>342</v>
      </c>
      <c r="G53" s="30">
        <f>C53</f>
        <v>24300</v>
      </c>
      <c r="H53" s="13" t="s">
        <v>48</v>
      </c>
      <c r="J53" s="59"/>
    </row>
    <row r="54" spans="1:10">
      <c r="B54" t="s">
        <v>306</v>
      </c>
      <c r="C54">
        <f>(D26-50)*2+(D26-50)*($D$11/100)</f>
        <v>3937.5</v>
      </c>
      <c r="D54" t="s">
        <v>21</v>
      </c>
      <c r="E54" s="13" t="s">
        <v>621</v>
      </c>
      <c r="F54" s="13"/>
      <c r="G54" s="30">
        <f>C54</f>
        <v>3937.5</v>
      </c>
      <c r="H54" s="13" t="s">
        <v>21</v>
      </c>
      <c r="J54" s="59"/>
    </row>
    <row r="55" spans="1:10">
      <c r="B55" t="s">
        <v>185</v>
      </c>
      <c r="C55">
        <f>(D26-50)*2</f>
        <v>3500</v>
      </c>
      <c r="D55" t="s">
        <v>21</v>
      </c>
      <c r="E55" s="13" t="s">
        <v>696</v>
      </c>
      <c r="F55" s="13"/>
      <c r="G55" s="13">
        <f>C55</f>
        <v>3500</v>
      </c>
      <c r="H55" s="13" t="s">
        <v>21</v>
      </c>
      <c r="J55" s="59"/>
    </row>
    <row r="56" spans="1:10">
      <c r="A56" s="20"/>
      <c r="B56" t="s">
        <v>160</v>
      </c>
      <c r="C56" s="16">
        <f>'Viaduct voor semi-directe vw'!C57</f>
        <v>183.44800000000001</v>
      </c>
      <c r="D56" s="4" t="s">
        <v>48</v>
      </c>
      <c r="E56" s="13" t="s">
        <v>617</v>
      </c>
      <c r="F56" s="13"/>
      <c r="G56" s="30">
        <f>C56</f>
        <v>183.44800000000001</v>
      </c>
      <c r="H56" s="13" t="s">
        <v>48</v>
      </c>
      <c r="J56" s="59"/>
    </row>
    <row r="57" spans="1:10">
      <c r="A57" s="20"/>
      <c r="B57" t="s">
        <v>161</v>
      </c>
      <c r="C57" s="16">
        <f>'Viaduct voor semi-directe vw'!C58</f>
        <v>4.3056000000000001</v>
      </c>
      <c r="D57" s="4" t="s">
        <v>159</v>
      </c>
      <c r="E57" s="13" t="s">
        <v>619</v>
      </c>
      <c r="F57" s="13"/>
      <c r="G57" s="30">
        <f>C57*1000</f>
        <v>4305.6000000000004</v>
      </c>
      <c r="H57" s="13" t="s">
        <v>644</v>
      </c>
      <c r="J57" s="59"/>
    </row>
    <row r="58" spans="1:10">
      <c r="A58" s="20"/>
      <c r="B58" t="s">
        <v>162</v>
      </c>
      <c r="C58" s="16">
        <f>'Viaduct voor semi-directe vw'!C59</f>
        <v>58.224800000000002</v>
      </c>
      <c r="D58" s="4" t="s">
        <v>48</v>
      </c>
      <c r="E58" s="13" t="s">
        <v>617</v>
      </c>
      <c r="F58" s="13"/>
      <c r="G58" s="30">
        <f>C58</f>
        <v>58.224800000000002</v>
      </c>
      <c r="H58" s="13" t="s">
        <v>48</v>
      </c>
      <c r="J58" s="59"/>
    </row>
    <row r="59" spans="1:10">
      <c r="A59" s="20"/>
      <c r="B59" t="s">
        <v>163</v>
      </c>
      <c r="C59" s="16">
        <f>'Viaduct voor semi-directe vw'!C60</f>
        <v>1.36656</v>
      </c>
      <c r="D59" s="4" t="s">
        <v>159</v>
      </c>
      <c r="E59" s="13" t="s">
        <v>620</v>
      </c>
      <c r="F59" s="13"/>
      <c r="G59" s="30">
        <f>C59*1000</f>
        <v>1366.56</v>
      </c>
      <c r="H59" s="13" t="s">
        <v>644</v>
      </c>
      <c r="J59" s="59"/>
    </row>
    <row r="60" spans="1:10">
      <c r="A60" s="20"/>
      <c r="B60" t="s">
        <v>27</v>
      </c>
      <c r="C60" s="16">
        <f>'Viaduct voor semi-directe vw'!C61</f>
        <v>32.199999999999996</v>
      </c>
      <c r="D60" s="4" t="s">
        <v>48</v>
      </c>
      <c r="E60" s="13" t="s">
        <v>635</v>
      </c>
      <c r="F60" s="13"/>
      <c r="G60" s="79">
        <f>C60*2.5*1000</f>
        <v>80499.999999999985</v>
      </c>
      <c r="H60" s="13" t="s">
        <v>644</v>
      </c>
      <c r="J60" s="59"/>
    </row>
    <row r="61" spans="1:10">
      <c r="A61" s="4"/>
      <c r="B61" t="s">
        <v>164</v>
      </c>
      <c r="C61" s="16">
        <f>'Viaduct voor semi-directe vw'!C62</f>
        <v>23</v>
      </c>
      <c r="D61" s="4" t="s">
        <v>48</v>
      </c>
      <c r="E61" s="13" t="s">
        <v>660</v>
      </c>
      <c r="F61" s="13"/>
      <c r="G61" s="79">
        <f>C61*2.5*1000</f>
        <v>57500</v>
      </c>
      <c r="H61" s="13" t="s">
        <v>644</v>
      </c>
      <c r="J61" s="59"/>
    </row>
    <row r="62" spans="1:10">
      <c r="A62" s="4"/>
      <c r="B62" t="s">
        <v>601</v>
      </c>
      <c r="C62" s="16">
        <f>'Viaduct voor semi-directe vw'!D42</f>
        <v>459.99999999999994</v>
      </c>
      <c r="D62" t="s">
        <v>49</v>
      </c>
      <c r="E62" s="13" t="s">
        <v>668</v>
      </c>
      <c r="F62" s="49" t="s">
        <v>603</v>
      </c>
      <c r="G62" s="30">
        <f>C62</f>
        <v>459.99999999999994</v>
      </c>
      <c r="H62" s="13" t="s">
        <v>49</v>
      </c>
      <c r="J62" s="59"/>
    </row>
    <row r="63" spans="1:10">
      <c r="A63" s="4"/>
      <c r="B63" t="s">
        <v>306</v>
      </c>
      <c r="C63">
        <f>(50*2+(D11/100)*50)/1000</f>
        <v>0.1125</v>
      </c>
      <c r="D63" t="s">
        <v>10</v>
      </c>
      <c r="E63" s="13" t="s">
        <v>621</v>
      </c>
      <c r="F63" s="13"/>
      <c r="G63" s="30">
        <f>C63*1000</f>
        <v>112.5</v>
      </c>
      <c r="H63" s="13" t="s">
        <v>21</v>
      </c>
      <c r="J63" s="59"/>
    </row>
    <row r="64" spans="1:10">
      <c r="A64" s="4"/>
      <c r="B64" t="s">
        <v>185</v>
      </c>
      <c r="C64">
        <f>50*2</f>
        <v>100</v>
      </c>
      <c r="D64" t="s">
        <v>21</v>
      </c>
      <c r="E64" s="13" t="s">
        <v>696</v>
      </c>
      <c r="F64" s="13"/>
      <c r="G64" s="13">
        <f>C64</f>
        <v>100</v>
      </c>
      <c r="H64" s="13" t="s">
        <v>21</v>
      </c>
      <c r="J64" s="59"/>
    </row>
    <row r="65" spans="1:10">
      <c r="A65" s="4"/>
      <c r="B65" t="s">
        <v>610</v>
      </c>
      <c r="C65">
        <f>ROUNDUP(D26/$D$32,0)</f>
        <v>36</v>
      </c>
      <c r="D65" t="s">
        <v>393</v>
      </c>
      <c r="E65" s="13" t="s">
        <v>624</v>
      </c>
      <c r="F65" s="13" t="s">
        <v>701</v>
      </c>
      <c r="G65" s="13">
        <f>C65</f>
        <v>36</v>
      </c>
      <c r="H65" s="13" t="s">
        <v>393</v>
      </c>
      <c r="J65" s="59"/>
    </row>
    <row r="66" spans="1:10">
      <c r="E66" s="13"/>
      <c r="F66" s="13"/>
      <c r="G66" s="13"/>
      <c r="H66" s="13"/>
      <c r="J66" s="59"/>
    </row>
    <row r="67" spans="1:10">
      <c r="A67" t="s">
        <v>337</v>
      </c>
      <c r="B67" t="s">
        <v>27</v>
      </c>
      <c r="C67">
        <f>(2*$D$9+2*$D$10)*$D$19*D27</f>
        <v>200.89999999999998</v>
      </c>
      <c r="D67" t="s">
        <v>48</v>
      </c>
      <c r="E67" s="13" t="s">
        <v>635</v>
      </c>
      <c r="F67" s="13"/>
      <c r="G67" s="79">
        <f>C67*2.5*1000</f>
        <v>502249.99999999994</v>
      </c>
      <c r="H67" s="13" t="s">
        <v>644</v>
      </c>
      <c r="J67" s="59"/>
    </row>
    <row r="68" spans="1:10">
      <c r="B68" t="s">
        <v>29</v>
      </c>
      <c r="C68">
        <f>(2*$D$9+2*$D$10)*($D$20+$D$21)*D27</f>
        <v>717.49999999999989</v>
      </c>
      <c r="D68" t="s">
        <v>48</v>
      </c>
      <c r="E68" s="13" t="s">
        <v>638</v>
      </c>
      <c r="F68" s="13"/>
      <c r="G68" s="79">
        <f>C68*2.5*1000</f>
        <v>1793749.9999999998</v>
      </c>
      <c r="H68" s="13" t="s">
        <v>644</v>
      </c>
      <c r="J68" s="59"/>
    </row>
    <row r="69" spans="1:10">
      <c r="B69" t="s">
        <v>601</v>
      </c>
      <c r="C69" s="15">
        <f>(2*$D$9+2*$D$10)*D27*2</f>
        <v>5739.9999999999991</v>
      </c>
      <c r="D69" t="s">
        <v>49</v>
      </c>
      <c r="E69" s="13" t="s">
        <v>668</v>
      </c>
      <c r="F69" s="49" t="s">
        <v>602</v>
      </c>
      <c r="G69" s="30">
        <f>C69</f>
        <v>5739.9999999999991</v>
      </c>
      <c r="H69" s="13" t="s">
        <v>49</v>
      </c>
      <c r="J69" s="59"/>
    </row>
    <row r="70" spans="1:10">
      <c r="B70" t="s">
        <v>30</v>
      </c>
      <c r="C70">
        <f>(2*$D$9+2*$D$10)*D27</f>
        <v>2869.9999999999995</v>
      </c>
      <c r="D70" t="s">
        <v>49</v>
      </c>
      <c r="E70" s="13" t="s">
        <v>623</v>
      </c>
      <c r="F70" s="13"/>
      <c r="G70" s="54">
        <f>C70*0.25</f>
        <v>717.49999999999989</v>
      </c>
      <c r="H70" s="13" t="s">
        <v>48</v>
      </c>
      <c r="J70" s="59"/>
    </row>
    <row r="71" spans="1:10">
      <c r="B71" t="s">
        <v>31</v>
      </c>
      <c r="C71">
        <f>($D$15)*$D$23*D27</f>
        <v>1575</v>
      </c>
      <c r="D71" t="s">
        <v>48</v>
      </c>
      <c r="E71" s="13" t="s">
        <v>639</v>
      </c>
      <c r="F71" s="13"/>
      <c r="G71" s="30">
        <f>C71</f>
        <v>1575</v>
      </c>
      <c r="H71" s="13" t="s">
        <v>48</v>
      </c>
      <c r="J71" s="59"/>
    </row>
    <row r="72" spans="1:10">
      <c r="B72" t="s">
        <v>175</v>
      </c>
      <c r="C72">
        <f>D17*D27</f>
        <v>14175</v>
      </c>
      <c r="D72" t="s">
        <v>48</v>
      </c>
      <c r="E72" s="13" t="s">
        <v>699</v>
      </c>
      <c r="F72" s="13"/>
      <c r="G72" s="30">
        <f>C72</f>
        <v>14175</v>
      </c>
      <c r="H72" s="13" t="s">
        <v>48</v>
      </c>
      <c r="J72" s="59"/>
    </row>
    <row r="73" spans="1:10">
      <c r="B73" t="s">
        <v>306</v>
      </c>
      <c r="C73" s="9">
        <f>(D27*2+D27*($D$11/100))/1000</f>
        <v>0.78749999999999998</v>
      </c>
      <c r="D73" t="s">
        <v>10</v>
      </c>
      <c r="E73" s="13" t="s">
        <v>621</v>
      </c>
      <c r="F73" s="13"/>
      <c r="G73" s="30">
        <f>C73*1000</f>
        <v>787.5</v>
      </c>
      <c r="H73" s="13" t="s">
        <v>21</v>
      </c>
      <c r="J73" s="59"/>
    </row>
    <row r="74" spans="1:10">
      <c r="B74" t="s">
        <v>185</v>
      </c>
      <c r="C74">
        <f>D27*2</f>
        <v>700</v>
      </c>
      <c r="D74" t="s">
        <v>21</v>
      </c>
      <c r="E74" s="13" t="s">
        <v>696</v>
      </c>
      <c r="F74" s="13"/>
      <c r="G74" s="13">
        <f>C74</f>
        <v>700</v>
      </c>
      <c r="H74" s="13" t="s">
        <v>21</v>
      </c>
      <c r="J74" s="59"/>
    </row>
    <row r="75" spans="1:10">
      <c r="B75" t="s">
        <v>610</v>
      </c>
      <c r="C75">
        <f>ROUNDUP(D27/$D$32,0)</f>
        <v>7</v>
      </c>
      <c r="D75" t="s">
        <v>393</v>
      </c>
      <c r="E75" s="13" t="s">
        <v>624</v>
      </c>
      <c r="F75" s="13" t="s">
        <v>701</v>
      </c>
      <c r="G75" s="13">
        <f>C75</f>
        <v>7</v>
      </c>
      <c r="H75" s="13" t="s">
        <v>393</v>
      </c>
      <c r="J75" s="59"/>
    </row>
    <row r="76" spans="1:10">
      <c r="A76" s="87"/>
      <c r="E76" s="13"/>
      <c r="F76" s="13"/>
      <c r="G76" s="13"/>
      <c r="H76" s="13"/>
      <c r="J76" s="59"/>
    </row>
    <row r="77" spans="1:10">
      <c r="A77" s="87" t="s">
        <v>702</v>
      </c>
      <c r="B77" t="s">
        <v>27</v>
      </c>
      <c r="C77">
        <f>($D$9+$D$10)*(($D$29+$D$30)/2)*D19</f>
        <v>71.75</v>
      </c>
      <c r="D77" t="s">
        <v>48</v>
      </c>
      <c r="E77" s="13" t="s">
        <v>635</v>
      </c>
      <c r="F77" s="13" t="s">
        <v>327</v>
      </c>
      <c r="G77" s="79">
        <f>C77*2.5*1000</f>
        <v>179375</v>
      </c>
      <c r="H77" s="13" t="s">
        <v>644</v>
      </c>
      <c r="J77" s="59"/>
    </row>
    <row r="78" spans="1:10">
      <c r="A78" s="87"/>
      <c r="B78" t="s">
        <v>29</v>
      </c>
      <c r="C78">
        <f>($D$9+$D$10)*(($D$29+$D$30)/2)*(D20+D21)</f>
        <v>256.25</v>
      </c>
      <c r="D78" t="s">
        <v>48</v>
      </c>
      <c r="E78" s="13" t="s">
        <v>638</v>
      </c>
      <c r="F78" s="13" t="s">
        <v>327</v>
      </c>
      <c r="G78" s="79">
        <f>C78*2.5*1000</f>
        <v>640625</v>
      </c>
      <c r="H78" s="13" t="s">
        <v>644</v>
      </c>
      <c r="J78" s="59"/>
    </row>
    <row r="79" spans="1:10">
      <c r="A79" s="87"/>
      <c r="B79" t="s">
        <v>601</v>
      </c>
      <c r="C79" s="15">
        <f>($D$9+$D$10)*(($D$29+$D$30)/2)*2</f>
        <v>2050</v>
      </c>
      <c r="D79" t="s">
        <v>49</v>
      </c>
      <c r="E79" s="13" t="s">
        <v>668</v>
      </c>
      <c r="F79" s="49" t="s">
        <v>602</v>
      </c>
      <c r="G79" s="30">
        <f>C79</f>
        <v>2050</v>
      </c>
      <c r="H79" s="13" t="s">
        <v>49</v>
      </c>
      <c r="J79" s="59"/>
    </row>
    <row r="80" spans="1:10">
      <c r="A80" s="87"/>
      <c r="B80" t="s">
        <v>30</v>
      </c>
      <c r="C80">
        <f>($D$9+$D$10)*(($D$29+$D$30)/2)</f>
        <v>1025</v>
      </c>
      <c r="D80" t="s">
        <v>49</v>
      </c>
      <c r="E80" s="13" t="s">
        <v>623</v>
      </c>
      <c r="F80" s="13" t="s">
        <v>327</v>
      </c>
      <c r="G80" s="54">
        <f>C80*0.25</f>
        <v>256.25</v>
      </c>
      <c r="H80" s="13" t="s">
        <v>48</v>
      </c>
      <c r="J80" s="59"/>
    </row>
    <row r="81" spans="1:10">
      <c r="A81" s="87"/>
      <c r="B81" t="s">
        <v>31</v>
      </c>
      <c r="C81">
        <f>($D$9+$D$10)*(($D$29+$D$30)/2)*D23</f>
        <v>512.5</v>
      </c>
      <c r="D81" t="s">
        <v>48</v>
      </c>
      <c r="E81" s="13" t="s">
        <v>639</v>
      </c>
      <c r="F81" s="13" t="s">
        <v>327</v>
      </c>
      <c r="G81" s="30">
        <f>C81</f>
        <v>512.5</v>
      </c>
      <c r="H81" s="13" t="s">
        <v>48</v>
      </c>
      <c r="J81" s="59"/>
    </row>
    <row r="82" spans="1:10">
      <c r="A82" s="87"/>
      <c r="B82" t="s">
        <v>306</v>
      </c>
      <c r="C82" s="9">
        <f>((D29+D30)/2*(1+D11/100))/1000</f>
        <v>0.3125</v>
      </c>
      <c r="D82" t="s">
        <v>10</v>
      </c>
      <c r="E82" s="13" t="s">
        <v>621</v>
      </c>
      <c r="F82" s="13" t="s">
        <v>327</v>
      </c>
      <c r="G82" s="30">
        <f>C82*1000</f>
        <v>312.5</v>
      </c>
      <c r="H82" s="13" t="s">
        <v>21</v>
      </c>
      <c r="J82" s="59"/>
    </row>
    <row r="83" spans="1:10">
      <c r="A83" s="87"/>
      <c r="B83" t="s">
        <v>610</v>
      </c>
      <c r="C83">
        <f>ROUNDUP((D29+D30)/2/$D$32,0)</f>
        <v>5</v>
      </c>
      <c r="D83" t="s">
        <v>393</v>
      </c>
      <c r="E83" t="s">
        <v>624</v>
      </c>
      <c r="F83" t="s">
        <v>701</v>
      </c>
      <c r="G83">
        <f>C83</f>
        <v>5</v>
      </c>
      <c r="H83" t="s">
        <v>393</v>
      </c>
      <c r="J83" s="59"/>
    </row>
    <row r="84" spans="1:10">
      <c r="A84" s="87"/>
    </row>
    <row r="85" spans="1:10">
      <c r="A85" s="89"/>
    </row>
    <row r="86" spans="1:10">
      <c r="A86" s="87"/>
    </row>
    <row r="87" spans="1:10">
      <c r="A87" s="87"/>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5"/>
  </sheetPr>
  <dimension ref="A1:H78"/>
  <sheetViews>
    <sheetView topLeftCell="A28" zoomScale="70" zoomScaleNormal="70" workbookViewId="0">
      <selection activeCell="B77" sqref="B77"/>
    </sheetView>
  </sheetViews>
  <sheetFormatPr defaultRowHeight="15"/>
  <cols>
    <col min="1" max="1" width="20.28515625" bestFit="1" customWidth="1"/>
    <col min="2" max="2" width="52.85546875" bestFit="1" customWidth="1"/>
    <col min="3" max="3" width="9.140625" bestFit="1" customWidth="1"/>
    <col min="4" max="4" width="14.85546875" bestFit="1" customWidth="1"/>
    <col min="5" max="5" width="57.85546875" bestFit="1" customWidth="1"/>
    <col min="6" max="6" width="46" customWidth="1"/>
    <col min="7" max="7" width="15.85546875" bestFit="1" customWidth="1"/>
    <col min="8" max="8" width="11" bestFit="1" customWidth="1"/>
    <col min="9" max="9" width="12.140625" bestFit="1" customWidth="1"/>
  </cols>
  <sheetData>
    <row r="1" spans="1:8">
      <c r="A1" s="2" t="s">
        <v>0</v>
      </c>
    </row>
    <row r="2" spans="1:8" ht="15.75" thickBot="1">
      <c r="B2" s="1" t="s">
        <v>1</v>
      </c>
      <c r="C2" s="1"/>
      <c r="D2" s="1" t="s">
        <v>2</v>
      </c>
      <c r="E2" s="1" t="s">
        <v>3</v>
      </c>
      <c r="F2" s="1" t="s">
        <v>4</v>
      </c>
    </row>
    <row r="3" spans="1:8">
      <c r="B3" t="s">
        <v>6</v>
      </c>
      <c r="D3">
        <v>2</v>
      </c>
      <c r="E3" t="s">
        <v>5</v>
      </c>
      <c r="F3" t="s">
        <v>12</v>
      </c>
    </row>
    <row r="4" spans="1:8">
      <c r="B4" t="s">
        <v>400</v>
      </c>
      <c r="D4">
        <v>1</v>
      </c>
      <c r="E4" t="s">
        <v>5</v>
      </c>
      <c r="F4" t="s">
        <v>12</v>
      </c>
    </row>
    <row r="5" spans="1:8">
      <c r="B5" t="s">
        <v>389</v>
      </c>
      <c r="D5">
        <v>40</v>
      </c>
      <c r="E5" t="s">
        <v>21</v>
      </c>
    </row>
    <row r="7" spans="1:8">
      <c r="A7" s="2" t="s">
        <v>11</v>
      </c>
    </row>
    <row r="8" spans="1:8" ht="15.75" thickBot="1">
      <c r="B8" s="1" t="s">
        <v>1</v>
      </c>
      <c r="C8" s="1"/>
      <c r="D8" s="1" t="s">
        <v>2</v>
      </c>
      <c r="E8" s="1" t="s">
        <v>3</v>
      </c>
      <c r="F8" s="1" t="s">
        <v>4</v>
      </c>
    </row>
    <row r="9" spans="1:8">
      <c r="B9" t="s">
        <v>483</v>
      </c>
      <c r="D9">
        <v>10</v>
      </c>
      <c r="E9" t="s">
        <v>102</v>
      </c>
    </row>
    <row r="10" spans="1:8">
      <c r="B10" t="s">
        <v>484</v>
      </c>
      <c r="D10">
        <v>2</v>
      </c>
      <c r="E10" t="s">
        <v>485</v>
      </c>
    </row>
    <row r="11" spans="1:8">
      <c r="B11" t="s">
        <v>486</v>
      </c>
      <c r="D11">
        <v>2</v>
      </c>
      <c r="E11" t="s">
        <v>487</v>
      </c>
    </row>
    <row r="12" spans="1:8">
      <c r="B12" t="s">
        <v>488</v>
      </c>
      <c r="D12">
        <v>4</v>
      </c>
      <c r="E12" t="s">
        <v>487</v>
      </c>
    </row>
    <row r="13" spans="1:8">
      <c r="B13" t="s">
        <v>25</v>
      </c>
      <c r="D13">
        <v>0</v>
      </c>
      <c r="E13" t="s">
        <v>487</v>
      </c>
    </row>
    <row r="14" spans="1:8">
      <c r="B14" t="s">
        <v>546</v>
      </c>
      <c r="D14">
        <f>ROUNDUP(D5/30,1)</f>
        <v>1.4000000000000001</v>
      </c>
      <c r="E14" s="13" t="s">
        <v>21</v>
      </c>
      <c r="F14" t="s">
        <v>187</v>
      </c>
    </row>
    <row r="15" spans="1:8">
      <c r="B15" t="s">
        <v>547</v>
      </c>
      <c r="D15">
        <v>1.5</v>
      </c>
      <c r="E15" t="s">
        <v>21</v>
      </c>
      <c r="F15" t="s">
        <v>548</v>
      </c>
    </row>
    <row r="16" spans="1:8">
      <c r="B16" t="s">
        <v>108</v>
      </c>
      <c r="D16">
        <v>0.2</v>
      </c>
      <c r="E16" s="13" t="s">
        <v>109</v>
      </c>
      <c r="F16" t="s">
        <v>110</v>
      </c>
      <c r="H16" s="17"/>
    </row>
    <row r="17" spans="2:6">
      <c r="B17" t="s">
        <v>111</v>
      </c>
      <c r="D17">
        <v>7.85</v>
      </c>
      <c r="E17" s="13" t="s">
        <v>364</v>
      </c>
      <c r="F17" t="s">
        <v>113</v>
      </c>
    </row>
    <row r="18" spans="2:6">
      <c r="B18" t="s">
        <v>116</v>
      </c>
      <c r="D18">
        <v>60</v>
      </c>
      <c r="E18" s="13" t="s">
        <v>109</v>
      </c>
      <c r="F18" t="s">
        <v>117</v>
      </c>
    </row>
    <row r="19" spans="2:6">
      <c r="B19" t="s">
        <v>494</v>
      </c>
      <c r="D19">
        <v>0.2</v>
      </c>
      <c r="E19" s="13" t="s">
        <v>21</v>
      </c>
      <c r="F19" t="s">
        <v>495</v>
      </c>
    </row>
    <row r="20" spans="2:6">
      <c r="B20" t="s">
        <v>496</v>
      </c>
      <c r="D20">
        <f>D14*2/3</f>
        <v>0.93333333333333346</v>
      </c>
      <c r="E20" s="13" t="s">
        <v>21</v>
      </c>
      <c r="F20" t="s">
        <v>497</v>
      </c>
    </row>
    <row r="21" spans="2:6">
      <c r="B21" t="s">
        <v>498</v>
      </c>
      <c r="D21">
        <f>D14/2</f>
        <v>0.70000000000000007</v>
      </c>
      <c r="E21" s="13" t="s">
        <v>21</v>
      </c>
      <c r="F21" t="s">
        <v>549</v>
      </c>
    </row>
    <row r="22" spans="2:6">
      <c r="B22" t="s">
        <v>500</v>
      </c>
      <c r="D22">
        <v>0.5</v>
      </c>
      <c r="E22" s="13" t="s">
        <v>21</v>
      </c>
      <c r="F22" t="s">
        <v>501</v>
      </c>
    </row>
    <row r="23" spans="2:6">
      <c r="B23" t="s">
        <v>502</v>
      </c>
      <c r="D23">
        <f>D14</f>
        <v>1.4000000000000001</v>
      </c>
      <c r="E23" t="s">
        <v>21</v>
      </c>
      <c r="F23" t="s">
        <v>550</v>
      </c>
    </row>
    <row r="24" spans="2:6">
      <c r="B24" t="s">
        <v>504</v>
      </c>
      <c r="D24">
        <v>0.5</v>
      </c>
      <c r="E24" t="s">
        <v>21</v>
      </c>
    </row>
    <row r="25" spans="2:6">
      <c r="B25" t="s">
        <v>505</v>
      </c>
      <c r="D25">
        <f>D14+D19+D23</f>
        <v>3</v>
      </c>
      <c r="E25" t="s">
        <v>21</v>
      </c>
      <c r="F25" t="s">
        <v>506</v>
      </c>
    </row>
    <row r="26" spans="2:6">
      <c r="B26" t="s">
        <v>507</v>
      </c>
      <c r="D26">
        <f>D25</f>
        <v>3</v>
      </c>
      <c r="E26" t="s">
        <v>21</v>
      </c>
      <c r="F26" t="s">
        <v>508</v>
      </c>
    </row>
    <row r="27" spans="2:6">
      <c r="B27" t="s">
        <v>509</v>
      </c>
      <c r="D27">
        <v>150</v>
      </c>
      <c r="E27" t="s">
        <v>263</v>
      </c>
    </row>
    <row r="28" spans="2:6">
      <c r="B28" t="s">
        <v>510</v>
      </c>
      <c r="D28">
        <v>4</v>
      </c>
      <c r="E28" t="s">
        <v>21</v>
      </c>
    </row>
    <row r="29" spans="2:6">
      <c r="B29" t="s">
        <v>551</v>
      </c>
      <c r="D29">
        <v>450</v>
      </c>
      <c r="E29" t="s">
        <v>512</v>
      </c>
    </row>
    <row r="30" spans="2:6">
      <c r="B30" t="s">
        <v>552</v>
      </c>
      <c r="D30">
        <f>D5/2</f>
        <v>20</v>
      </c>
      <c r="E30" t="s">
        <v>21</v>
      </c>
      <c r="F30" t="s">
        <v>553</v>
      </c>
    </row>
    <row r="31" spans="2:6">
      <c r="B31" t="s">
        <v>554</v>
      </c>
      <c r="D31">
        <v>1.5</v>
      </c>
      <c r="E31" t="s">
        <v>21</v>
      </c>
    </row>
    <row r="32" spans="2:6">
      <c r="B32" t="s">
        <v>222</v>
      </c>
      <c r="D32">
        <v>0.05</v>
      </c>
      <c r="E32" t="s">
        <v>21</v>
      </c>
    </row>
    <row r="33" spans="1:6">
      <c r="B33" t="s">
        <v>18</v>
      </c>
      <c r="D33">
        <v>7.0000000000000007E-2</v>
      </c>
      <c r="E33" t="s">
        <v>21</v>
      </c>
    </row>
    <row r="34" spans="1:6">
      <c r="B34" t="s">
        <v>519</v>
      </c>
      <c r="D34">
        <v>1</v>
      </c>
      <c r="E34" t="s">
        <v>21</v>
      </c>
    </row>
    <row r="35" spans="1:6">
      <c r="B35" t="s">
        <v>520</v>
      </c>
      <c r="D35">
        <v>0.5</v>
      </c>
      <c r="E35" s="13" t="s">
        <v>21</v>
      </c>
    </row>
    <row r="36" spans="1:6">
      <c r="B36" t="s">
        <v>15</v>
      </c>
      <c r="D36">
        <v>3.5</v>
      </c>
      <c r="E36" s="13" t="s">
        <v>21</v>
      </c>
      <c r="F36" t="s">
        <v>130</v>
      </c>
    </row>
    <row r="37" spans="1:6">
      <c r="B37" t="s">
        <v>521</v>
      </c>
      <c r="D37">
        <v>0.5</v>
      </c>
      <c r="E37" s="13" t="s">
        <v>21</v>
      </c>
    </row>
    <row r="38" spans="1:6">
      <c r="B38" t="s">
        <v>562</v>
      </c>
      <c r="D38">
        <v>0.75</v>
      </c>
      <c r="E38" s="13" t="s">
        <v>21</v>
      </c>
    </row>
    <row r="39" spans="1:6">
      <c r="B39" t="s">
        <v>563</v>
      </c>
      <c r="D39">
        <v>0.05</v>
      </c>
      <c r="E39" s="13" t="s">
        <v>21</v>
      </c>
    </row>
    <row r="40" spans="1:6">
      <c r="B40" t="s">
        <v>564</v>
      </c>
      <c r="D40">
        <v>2.5</v>
      </c>
      <c r="E40" s="13" t="s">
        <v>364</v>
      </c>
    </row>
    <row r="41" spans="1:6">
      <c r="B41" t="s">
        <v>14</v>
      </c>
      <c r="D41">
        <v>25</v>
      </c>
      <c r="E41" t="s">
        <v>22</v>
      </c>
    </row>
    <row r="42" spans="1:6">
      <c r="B42" t="s">
        <v>612</v>
      </c>
      <c r="D42">
        <v>50</v>
      </c>
      <c r="E42" t="s">
        <v>21</v>
      </c>
    </row>
    <row r="44" spans="1:6">
      <c r="A44" s="2" t="s">
        <v>136</v>
      </c>
    </row>
    <row r="45" spans="1:6">
      <c r="B45" t="s">
        <v>522</v>
      </c>
      <c r="D45">
        <f>(D9^2+(D9*D10)^2)^0.5</f>
        <v>22.360679774997898</v>
      </c>
      <c r="E45" t="s">
        <v>21</v>
      </c>
    </row>
    <row r="46" spans="1:6">
      <c r="B46" t="s">
        <v>144</v>
      </c>
      <c r="D46">
        <f>D4*D3*D36+D3*2*D37</f>
        <v>9</v>
      </c>
      <c r="E46" t="s">
        <v>21</v>
      </c>
    </row>
    <row r="47" spans="1:6">
      <c r="B47" t="s">
        <v>523</v>
      </c>
      <c r="D47">
        <f>D46+D3*(D34+D35)</f>
        <v>12</v>
      </c>
      <c r="E47" t="s">
        <v>21</v>
      </c>
    </row>
    <row r="48" spans="1:6">
      <c r="B48" t="s">
        <v>555</v>
      </c>
      <c r="D48">
        <f>ROUNDUP(D47/D15,0)</f>
        <v>8</v>
      </c>
      <c r="E48" t="s">
        <v>487</v>
      </c>
    </row>
    <row r="49" spans="1:8">
      <c r="B49" t="s">
        <v>556</v>
      </c>
      <c r="D49">
        <f>ROUNDUP((D20+D21+D22)/D31,0)+1</f>
        <v>3</v>
      </c>
      <c r="E49" t="s">
        <v>487</v>
      </c>
    </row>
    <row r="50" spans="1:8">
      <c r="B50" t="s">
        <v>557</v>
      </c>
      <c r="D50">
        <f>ROUNDUP(D47/D31,0)+1</f>
        <v>9</v>
      </c>
      <c r="E50" t="s">
        <v>487</v>
      </c>
    </row>
    <row r="51" spans="1:8">
      <c r="B51" t="s">
        <v>558</v>
      </c>
      <c r="D51">
        <f>ROUNDUP(D26/D31,0)+1</f>
        <v>3</v>
      </c>
      <c r="E51" t="s">
        <v>487</v>
      </c>
    </row>
    <row r="52" spans="1:8">
      <c r="B52" t="s">
        <v>527</v>
      </c>
      <c r="D52">
        <f>(D14+D19)*D21</f>
        <v>1.1200000000000001</v>
      </c>
      <c r="E52" t="s">
        <v>49</v>
      </c>
    </row>
    <row r="53" spans="1:8">
      <c r="B53" t="s">
        <v>528</v>
      </c>
      <c r="D53">
        <f>(D20+D21+D22)*D23</f>
        <v>2.9866666666666677</v>
      </c>
      <c r="E53" t="s">
        <v>49</v>
      </c>
    </row>
    <row r="54" spans="1:8">
      <c r="B54" t="s">
        <v>529</v>
      </c>
      <c r="D54">
        <f>D25*D24</f>
        <v>1.5</v>
      </c>
      <c r="E54" t="s">
        <v>49</v>
      </c>
    </row>
    <row r="57" spans="1:8">
      <c r="A57" s="2" t="s">
        <v>26</v>
      </c>
    </row>
    <row r="58" spans="1:8" ht="15.75" thickBot="1">
      <c r="B58" s="1" t="s">
        <v>1</v>
      </c>
      <c r="C58" s="1" t="s">
        <v>2</v>
      </c>
      <c r="D58" s="1" t="s">
        <v>3</v>
      </c>
      <c r="E58" s="1" t="s">
        <v>616</v>
      </c>
      <c r="F58" s="1" t="s">
        <v>4</v>
      </c>
      <c r="G58" s="1" t="s">
        <v>643</v>
      </c>
      <c r="H58" s="1" t="s">
        <v>3</v>
      </c>
    </row>
    <row r="59" spans="1:8">
      <c r="A59" t="s">
        <v>530</v>
      </c>
      <c r="B59" t="s">
        <v>559</v>
      </c>
      <c r="C59">
        <f>(D50*D49*D11+D51*D12)*D30*(D29/1000)^2</f>
        <v>267.3</v>
      </c>
      <c r="D59" t="s">
        <v>48</v>
      </c>
      <c r="E59" t="s">
        <v>670</v>
      </c>
      <c r="F59" t="s">
        <v>674</v>
      </c>
      <c r="G59">
        <f>(D50*D49*D11+D51*D12)*D30</f>
        <v>1320</v>
      </c>
      <c r="H59" t="s">
        <v>21</v>
      </c>
    </row>
    <row r="60" spans="1:8">
      <c r="A60" t="s">
        <v>532</v>
      </c>
      <c r="B60" t="s">
        <v>533</v>
      </c>
      <c r="C60" s="15">
        <f>(D52++D53)*D11*D47</f>
        <v>98.560000000000016</v>
      </c>
      <c r="D60" t="s">
        <v>48</v>
      </c>
      <c r="E60" t="s">
        <v>617</v>
      </c>
      <c r="G60" s="15">
        <f>C60</f>
        <v>98.560000000000016</v>
      </c>
      <c r="H60" t="s">
        <v>48</v>
      </c>
    </row>
    <row r="61" spans="1:8">
      <c r="B61" t="s">
        <v>534</v>
      </c>
      <c r="C61" s="15">
        <f>D54*D26*D12</f>
        <v>18</v>
      </c>
      <c r="D61" t="s">
        <v>48</v>
      </c>
      <c r="E61" t="s">
        <v>617</v>
      </c>
      <c r="G61" s="15">
        <f>C61</f>
        <v>18</v>
      </c>
      <c r="H61" t="s">
        <v>48</v>
      </c>
    </row>
    <row r="62" spans="1:8">
      <c r="B62" t="s">
        <v>535</v>
      </c>
      <c r="C62" s="15">
        <f>(C60+C61)*D27/1000</f>
        <v>17.484000000000005</v>
      </c>
      <c r="D62" t="s">
        <v>159</v>
      </c>
      <c r="E62" s="13" t="s">
        <v>620</v>
      </c>
      <c r="F62" s="13"/>
      <c r="G62" s="15">
        <f>C62*1000</f>
        <v>17484.000000000004</v>
      </c>
      <c r="H62" t="s">
        <v>644</v>
      </c>
    </row>
    <row r="63" spans="1:8">
      <c r="B63" t="s">
        <v>536</v>
      </c>
      <c r="C63">
        <f>D46*D28*D11*0.25</f>
        <v>18</v>
      </c>
      <c r="D63" t="s">
        <v>48</v>
      </c>
      <c r="E63" t="s">
        <v>617</v>
      </c>
      <c r="F63" t="s">
        <v>561</v>
      </c>
      <c r="G63" s="15">
        <f>C63</f>
        <v>18</v>
      </c>
      <c r="H63" t="s">
        <v>48</v>
      </c>
    </row>
    <row r="64" spans="1:8">
      <c r="B64" t="s">
        <v>537</v>
      </c>
      <c r="C64" s="14">
        <f>D45*D47*D11</f>
        <v>536.65631459994961</v>
      </c>
      <c r="D64" s="4" t="s">
        <v>49</v>
      </c>
      <c r="E64" t="s">
        <v>634</v>
      </c>
      <c r="G64" s="15">
        <f>C64</f>
        <v>536.65631459994961</v>
      </c>
      <c r="H64" t="s">
        <v>49</v>
      </c>
    </row>
    <row r="65" spans="1:8">
      <c r="A65" t="s">
        <v>39</v>
      </c>
      <c r="B65" t="s">
        <v>560</v>
      </c>
      <c r="C65" s="11">
        <f>D47*D5*D14*(100-D18)/100*((100-D16)/100)</f>
        <v>268.26240000000001</v>
      </c>
      <c r="D65" s="4" t="s">
        <v>48</v>
      </c>
      <c r="E65" t="s">
        <v>617</v>
      </c>
      <c r="G65" s="15">
        <f>C65</f>
        <v>268.26240000000001</v>
      </c>
      <c r="H65" t="s">
        <v>48</v>
      </c>
    </row>
    <row r="66" spans="1:8">
      <c r="B66" t="s">
        <v>161</v>
      </c>
      <c r="C66" s="11">
        <f>D47*D5*D14*(100-D18)/100*((D16)/100)*D17</f>
        <v>4.2201600000000008</v>
      </c>
      <c r="D66" s="4" t="s">
        <v>159</v>
      </c>
      <c r="E66" s="13" t="s">
        <v>619</v>
      </c>
      <c r="F66" s="13"/>
      <c r="G66" s="15">
        <f>C66*1000</f>
        <v>4220.1600000000008</v>
      </c>
      <c r="H66" t="s">
        <v>644</v>
      </c>
    </row>
    <row r="67" spans="1:8">
      <c r="A67" t="s">
        <v>40</v>
      </c>
      <c r="B67" t="s">
        <v>565</v>
      </c>
      <c r="C67">
        <f>D46*D5*D32</f>
        <v>18</v>
      </c>
      <c r="D67" t="s">
        <v>48</v>
      </c>
      <c r="E67" t="s">
        <v>635</v>
      </c>
      <c r="G67">
        <f>C67*2.5*1000</f>
        <v>45000</v>
      </c>
      <c r="H67" t="s">
        <v>644</v>
      </c>
    </row>
    <row r="68" spans="1:8">
      <c r="B68" t="s">
        <v>566</v>
      </c>
      <c r="C68">
        <f>D46*D5*D33</f>
        <v>25.200000000000003</v>
      </c>
      <c r="D68" t="s">
        <v>48</v>
      </c>
      <c r="E68" t="s">
        <v>638</v>
      </c>
      <c r="G68">
        <f>C68*2.5*1000</f>
        <v>63000.000000000007</v>
      </c>
      <c r="H68" t="s">
        <v>644</v>
      </c>
    </row>
    <row r="69" spans="1:8">
      <c r="B69" s="13" t="s">
        <v>601</v>
      </c>
      <c r="C69" s="30">
        <f>D46*D5*2</f>
        <v>720</v>
      </c>
      <c r="D69" s="13" t="s">
        <v>49</v>
      </c>
      <c r="E69" s="13" t="s">
        <v>668</v>
      </c>
      <c r="F69" s="49" t="s">
        <v>603</v>
      </c>
      <c r="G69" s="30">
        <f>C69</f>
        <v>720</v>
      </c>
      <c r="H69" s="13" t="s">
        <v>49</v>
      </c>
    </row>
    <row r="70" spans="1:8">
      <c r="B70" s="13" t="s">
        <v>540</v>
      </c>
      <c r="C70" s="13">
        <f>(D3*2*D5)*(D38*D39*D40)</f>
        <v>15.000000000000002</v>
      </c>
      <c r="D70" s="13" t="s">
        <v>159</v>
      </c>
      <c r="E70" s="13" t="s">
        <v>671</v>
      </c>
      <c r="F70" s="13" t="s">
        <v>682</v>
      </c>
      <c r="G70" s="13">
        <f>C70*1000</f>
        <v>15000.000000000002</v>
      </c>
      <c r="H70" s="13" t="s">
        <v>644</v>
      </c>
    </row>
    <row r="71" spans="1:8">
      <c r="A71" t="s">
        <v>541</v>
      </c>
      <c r="B71" t="s">
        <v>542</v>
      </c>
      <c r="C71">
        <f>D5</f>
        <v>40</v>
      </c>
      <c r="D71" t="s">
        <v>21</v>
      </c>
      <c r="E71" t="s">
        <v>696</v>
      </c>
      <c r="G71">
        <f>C71</f>
        <v>40</v>
      </c>
      <c r="H71" t="s">
        <v>21</v>
      </c>
    </row>
    <row r="72" spans="1:8">
      <c r="A72" t="s">
        <v>543</v>
      </c>
      <c r="B72" t="s">
        <v>544</v>
      </c>
      <c r="C72">
        <f>D5*2+D26*D12</f>
        <v>92</v>
      </c>
      <c r="D72" t="s">
        <v>21</v>
      </c>
      <c r="E72" t="s">
        <v>696</v>
      </c>
      <c r="G72">
        <f>C72</f>
        <v>92</v>
      </c>
      <c r="H72" t="s">
        <v>21</v>
      </c>
    </row>
    <row r="73" spans="1:8">
      <c r="A73" t="s">
        <v>36</v>
      </c>
      <c r="B73" t="s">
        <v>53</v>
      </c>
      <c r="C73">
        <f>2*D3*D5/1000</f>
        <v>0.16</v>
      </c>
      <c r="D73" t="s">
        <v>10</v>
      </c>
      <c r="E73" t="s">
        <v>621</v>
      </c>
      <c r="G73">
        <f>C73*1000</f>
        <v>160</v>
      </c>
      <c r="H73" t="s">
        <v>21</v>
      </c>
    </row>
    <row r="74" spans="1:8">
      <c r="B74" t="s">
        <v>54</v>
      </c>
      <c r="C74">
        <f>(D4-1)*D3*(D41/100)*D5/1000</f>
        <v>0</v>
      </c>
      <c r="D74" t="s">
        <v>10</v>
      </c>
      <c r="E74" t="s">
        <v>621</v>
      </c>
      <c r="G74">
        <f>C74*1000</f>
        <v>0</v>
      </c>
      <c r="H74" t="s">
        <v>21</v>
      </c>
    </row>
    <row r="75" spans="1:8">
      <c r="A75" t="s">
        <v>610</v>
      </c>
      <c r="B75" t="s">
        <v>610</v>
      </c>
      <c r="C75">
        <f>ROUNDUP(D5/$D$42,0)*2</f>
        <v>2</v>
      </c>
      <c r="D75" t="s">
        <v>393</v>
      </c>
      <c r="E75" t="s">
        <v>624</v>
      </c>
      <c r="F75" t="s">
        <v>701</v>
      </c>
      <c r="G75">
        <f>C75</f>
        <v>2</v>
      </c>
      <c r="H75" t="s">
        <v>393</v>
      </c>
    </row>
    <row r="77" spans="1:8">
      <c r="A77" s="89"/>
    </row>
    <row r="78" spans="1:8">
      <c r="A78" s="87"/>
    </row>
  </sheetData>
  <pageMargins left="0.7" right="0.7" top="0.75" bottom="0.75" header="0.3" footer="0.3"/>
  <pageSetup orientation="portrait" horizontalDpi="300"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5"/>
  </sheetPr>
  <dimension ref="A1:H78"/>
  <sheetViews>
    <sheetView topLeftCell="A34" zoomScale="70" zoomScaleNormal="70" workbookViewId="0">
      <selection activeCell="A43" sqref="A43"/>
    </sheetView>
  </sheetViews>
  <sheetFormatPr defaultRowHeight="15"/>
  <cols>
    <col min="1" max="1" width="20.28515625" bestFit="1" customWidth="1"/>
    <col min="2" max="2" width="52.85546875" bestFit="1" customWidth="1"/>
    <col min="3" max="3" width="9.140625" bestFit="1" customWidth="1"/>
    <col min="4" max="4" width="14.85546875" bestFit="1" customWidth="1"/>
    <col min="5" max="5" width="57.85546875" bestFit="1" customWidth="1"/>
    <col min="6" max="6" width="61.140625" customWidth="1"/>
    <col min="7" max="7" width="15.85546875" bestFit="1" customWidth="1"/>
    <col min="8" max="8" width="11" bestFit="1" customWidth="1"/>
    <col min="9" max="9" width="12.140625" bestFit="1" customWidth="1"/>
  </cols>
  <sheetData>
    <row r="1" spans="1:8">
      <c r="A1" s="2" t="s">
        <v>0</v>
      </c>
    </row>
    <row r="2" spans="1:8" ht="15.75" thickBot="1">
      <c r="B2" s="1" t="s">
        <v>1</v>
      </c>
      <c r="C2" s="1"/>
      <c r="D2" s="1" t="s">
        <v>2</v>
      </c>
      <c r="E2" s="1" t="s">
        <v>3</v>
      </c>
      <c r="F2" s="1" t="s">
        <v>4</v>
      </c>
    </row>
    <row r="3" spans="1:8">
      <c r="B3" t="s">
        <v>6</v>
      </c>
      <c r="D3">
        <v>2</v>
      </c>
      <c r="E3" t="s">
        <v>5</v>
      </c>
      <c r="F3" t="s">
        <v>12</v>
      </c>
    </row>
    <row r="4" spans="1:8">
      <c r="B4" t="s">
        <v>400</v>
      </c>
      <c r="D4">
        <v>3</v>
      </c>
      <c r="E4" t="s">
        <v>5</v>
      </c>
      <c r="F4" t="s">
        <v>12</v>
      </c>
    </row>
    <row r="5" spans="1:8">
      <c r="B5" t="s">
        <v>389</v>
      </c>
      <c r="D5">
        <v>40</v>
      </c>
      <c r="E5" t="s">
        <v>21</v>
      </c>
    </row>
    <row r="7" spans="1:8">
      <c r="A7" s="2" t="s">
        <v>11</v>
      </c>
    </row>
    <row r="8" spans="1:8" ht="15.75" thickBot="1">
      <c r="B8" s="1" t="s">
        <v>1</v>
      </c>
      <c r="C8" s="1"/>
      <c r="D8" s="1" t="s">
        <v>2</v>
      </c>
      <c r="E8" s="1" t="s">
        <v>3</v>
      </c>
      <c r="F8" s="1" t="s">
        <v>4</v>
      </c>
    </row>
    <row r="9" spans="1:8">
      <c r="B9" t="s">
        <v>483</v>
      </c>
      <c r="D9">
        <v>10</v>
      </c>
      <c r="E9" t="s">
        <v>102</v>
      </c>
    </row>
    <row r="10" spans="1:8">
      <c r="B10" t="s">
        <v>484</v>
      </c>
      <c r="D10">
        <v>2</v>
      </c>
      <c r="E10" t="s">
        <v>485</v>
      </c>
    </row>
    <row r="11" spans="1:8">
      <c r="B11" t="s">
        <v>486</v>
      </c>
      <c r="D11">
        <v>2</v>
      </c>
      <c r="E11" t="s">
        <v>487</v>
      </c>
    </row>
    <row r="12" spans="1:8">
      <c r="B12" t="s">
        <v>488</v>
      </c>
      <c r="D12">
        <v>4</v>
      </c>
      <c r="E12" t="s">
        <v>487</v>
      </c>
    </row>
    <row r="13" spans="1:8">
      <c r="B13" t="s">
        <v>25</v>
      </c>
      <c r="D13">
        <v>0</v>
      </c>
      <c r="E13" t="s">
        <v>487</v>
      </c>
    </row>
    <row r="14" spans="1:8">
      <c r="B14" t="s">
        <v>546</v>
      </c>
      <c r="D14">
        <f>ROUNDUP(D5/30,1)</f>
        <v>1.4000000000000001</v>
      </c>
      <c r="E14" s="13" t="s">
        <v>21</v>
      </c>
      <c r="F14" t="s">
        <v>187</v>
      </c>
    </row>
    <row r="15" spans="1:8">
      <c r="B15" t="s">
        <v>547</v>
      </c>
      <c r="D15">
        <v>1.5</v>
      </c>
      <c r="E15" t="s">
        <v>21</v>
      </c>
      <c r="F15" t="s">
        <v>548</v>
      </c>
    </row>
    <row r="16" spans="1:8">
      <c r="B16" t="s">
        <v>108</v>
      </c>
      <c r="D16">
        <v>0.2</v>
      </c>
      <c r="E16" s="13" t="s">
        <v>109</v>
      </c>
      <c r="F16" t="s">
        <v>110</v>
      </c>
      <c r="H16" s="17"/>
    </row>
    <row r="17" spans="2:6">
      <c r="B17" t="s">
        <v>111</v>
      </c>
      <c r="D17">
        <v>7.85</v>
      </c>
      <c r="E17" s="13" t="s">
        <v>364</v>
      </c>
      <c r="F17" t="s">
        <v>113</v>
      </c>
    </row>
    <row r="18" spans="2:6">
      <c r="B18" t="s">
        <v>116</v>
      </c>
      <c r="D18">
        <v>60</v>
      </c>
      <c r="E18" s="13" t="s">
        <v>109</v>
      </c>
      <c r="F18" t="s">
        <v>117</v>
      </c>
    </row>
    <row r="19" spans="2:6">
      <c r="B19" t="s">
        <v>494</v>
      </c>
      <c r="D19">
        <v>0.2</v>
      </c>
      <c r="E19" s="13" t="s">
        <v>21</v>
      </c>
      <c r="F19" t="s">
        <v>495</v>
      </c>
    </row>
    <row r="20" spans="2:6">
      <c r="B20" t="s">
        <v>496</v>
      </c>
      <c r="D20">
        <f>D14*2/3</f>
        <v>0.93333333333333346</v>
      </c>
      <c r="E20" s="13" t="s">
        <v>21</v>
      </c>
      <c r="F20" t="s">
        <v>497</v>
      </c>
    </row>
    <row r="21" spans="2:6">
      <c r="B21" t="s">
        <v>498</v>
      </c>
      <c r="D21">
        <f>D14/2</f>
        <v>0.70000000000000007</v>
      </c>
      <c r="E21" s="13" t="s">
        <v>21</v>
      </c>
      <c r="F21" t="s">
        <v>549</v>
      </c>
    </row>
    <row r="22" spans="2:6">
      <c r="B22" t="s">
        <v>500</v>
      </c>
      <c r="D22">
        <v>0.5</v>
      </c>
      <c r="E22" s="13" t="s">
        <v>21</v>
      </c>
      <c r="F22" t="s">
        <v>501</v>
      </c>
    </row>
    <row r="23" spans="2:6">
      <c r="B23" t="s">
        <v>502</v>
      </c>
      <c r="D23">
        <f>D14</f>
        <v>1.4000000000000001</v>
      </c>
      <c r="E23" t="s">
        <v>21</v>
      </c>
      <c r="F23" t="s">
        <v>550</v>
      </c>
    </row>
    <row r="24" spans="2:6">
      <c r="B24" t="s">
        <v>504</v>
      </c>
      <c r="D24">
        <v>0.5</v>
      </c>
      <c r="E24" t="s">
        <v>21</v>
      </c>
    </row>
    <row r="25" spans="2:6">
      <c r="B25" t="s">
        <v>505</v>
      </c>
      <c r="D25">
        <f>D14+D19+D23</f>
        <v>3</v>
      </c>
      <c r="E25" t="s">
        <v>21</v>
      </c>
      <c r="F25" t="s">
        <v>506</v>
      </c>
    </row>
    <row r="26" spans="2:6">
      <c r="B26" t="s">
        <v>507</v>
      </c>
      <c r="D26">
        <f>D25</f>
        <v>3</v>
      </c>
      <c r="E26" t="s">
        <v>21</v>
      </c>
      <c r="F26" t="s">
        <v>508</v>
      </c>
    </row>
    <row r="27" spans="2:6">
      <c r="B27" t="s">
        <v>509</v>
      </c>
      <c r="D27">
        <v>150</v>
      </c>
      <c r="E27" t="s">
        <v>263</v>
      </c>
    </row>
    <row r="28" spans="2:6">
      <c r="B28" t="s">
        <v>510</v>
      </c>
      <c r="D28">
        <v>4</v>
      </c>
      <c r="E28" t="s">
        <v>21</v>
      </c>
    </row>
    <row r="29" spans="2:6">
      <c r="B29" t="s">
        <v>551</v>
      </c>
      <c r="D29">
        <v>450</v>
      </c>
      <c r="E29" t="s">
        <v>512</v>
      </c>
    </row>
    <row r="30" spans="2:6">
      <c r="B30" t="s">
        <v>552</v>
      </c>
      <c r="D30">
        <f>D5/2</f>
        <v>20</v>
      </c>
      <c r="E30" t="s">
        <v>21</v>
      </c>
      <c r="F30" t="s">
        <v>553</v>
      </c>
    </row>
    <row r="31" spans="2:6">
      <c r="B31" t="s">
        <v>554</v>
      </c>
      <c r="D31">
        <v>1.5</v>
      </c>
      <c r="E31" t="s">
        <v>21</v>
      </c>
    </row>
    <row r="32" spans="2:6">
      <c r="B32" t="s">
        <v>222</v>
      </c>
      <c r="D32">
        <v>0.05</v>
      </c>
      <c r="E32" t="s">
        <v>21</v>
      </c>
    </row>
    <row r="33" spans="1:6">
      <c r="B33" t="s">
        <v>18</v>
      </c>
      <c r="D33">
        <v>7.0000000000000007E-2</v>
      </c>
      <c r="E33" t="s">
        <v>21</v>
      </c>
    </row>
    <row r="34" spans="1:6">
      <c r="B34" t="s">
        <v>519</v>
      </c>
      <c r="D34">
        <v>1</v>
      </c>
      <c r="E34" t="s">
        <v>21</v>
      </c>
    </row>
    <row r="35" spans="1:6">
      <c r="B35" t="s">
        <v>520</v>
      </c>
      <c r="D35">
        <v>0.5</v>
      </c>
      <c r="E35" s="13" t="s">
        <v>21</v>
      </c>
    </row>
    <row r="36" spans="1:6">
      <c r="B36" t="s">
        <v>15</v>
      </c>
      <c r="D36">
        <v>3.5</v>
      </c>
      <c r="E36" s="13" t="s">
        <v>21</v>
      </c>
      <c r="F36" t="s">
        <v>130</v>
      </c>
    </row>
    <row r="37" spans="1:6">
      <c r="B37" t="s">
        <v>521</v>
      </c>
      <c r="D37">
        <v>0.5</v>
      </c>
      <c r="E37" s="13" t="s">
        <v>21</v>
      </c>
    </row>
    <row r="38" spans="1:6">
      <c r="B38" t="s">
        <v>562</v>
      </c>
      <c r="D38">
        <v>0.75</v>
      </c>
      <c r="E38" s="13" t="s">
        <v>21</v>
      </c>
    </row>
    <row r="39" spans="1:6">
      <c r="B39" t="s">
        <v>563</v>
      </c>
      <c r="D39">
        <v>0.05</v>
      </c>
      <c r="E39" s="13" t="s">
        <v>21</v>
      </c>
    </row>
    <row r="40" spans="1:6">
      <c r="B40" t="s">
        <v>564</v>
      </c>
      <c r="D40">
        <v>2.5</v>
      </c>
      <c r="E40" s="13" t="s">
        <v>364</v>
      </c>
    </row>
    <row r="41" spans="1:6">
      <c r="B41" t="s">
        <v>14</v>
      </c>
      <c r="D41">
        <v>25</v>
      </c>
      <c r="E41" t="s">
        <v>22</v>
      </c>
    </row>
    <row r="42" spans="1:6">
      <c r="B42" t="s">
        <v>612</v>
      </c>
      <c r="D42">
        <v>50</v>
      </c>
      <c r="E42" t="s">
        <v>21</v>
      </c>
    </row>
    <row r="44" spans="1:6">
      <c r="A44" s="2" t="s">
        <v>136</v>
      </c>
    </row>
    <row r="45" spans="1:6">
      <c r="B45" t="s">
        <v>522</v>
      </c>
      <c r="D45">
        <f>(D9^2+(D9*D10)^2)^0.5</f>
        <v>22.360679774997898</v>
      </c>
      <c r="E45" t="s">
        <v>21</v>
      </c>
    </row>
    <row r="46" spans="1:6">
      <c r="B46" t="s">
        <v>144</v>
      </c>
      <c r="D46">
        <f>D4*D3*D36+D3*2*D37</f>
        <v>23</v>
      </c>
      <c r="E46" t="s">
        <v>21</v>
      </c>
    </row>
    <row r="47" spans="1:6">
      <c r="B47" t="s">
        <v>523</v>
      </c>
      <c r="D47">
        <f>D46+D3*(D34+D35)</f>
        <v>26</v>
      </c>
      <c r="E47" t="s">
        <v>21</v>
      </c>
    </row>
    <row r="48" spans="1:6">
      <c r="B48" t="s">
        <v>555</v>
      </c>
      <c r="D48">
        <f>ROUNDUP(D47/D15,0)</f>
        <v>18</v>
      </c>
      <c r="E48" t="s">
        <v>487</v>
      </c>
    </row>
    <row r="49" spans="1:8">
      <c r="B49" t="s">
        <v>556</v>
      </c>
      <c r="D49">
        <f>ROUNDUP((D20+D21+D22)/D31,0)+1</f>
        <v>3</v>
      </c>
      <c r="E49" t="s">
        <v>487</v>
      </c>
    </row>
    <row r="50" spans="1:8">
      <c r="B50" t="s">
        <v>557</v>
      </c>
      <c r="D50">
        <f>ROUNDUP(D47/D31,0)+1</f>
        <v>19</v>
      </c>
      <c r="E50" t="s">
        <v>487</v>
      </c>
    </row>
    <row r="51" spans="1:8">
      <c r="B51" t="s">
        <v>558</v>
      </c>
      <c r="D51">
        <f>ROUNDUP(D26/D31,0)+1</f>
        <v>3</v>
      </c>
      <c r="E51" t="s">
        <v>487</v>
      </c>
    </row>
    <row r="52" spans="1:8">
      <c r="B52" t="s">
        <v>527</v>
      </c>
      <c r="D52">
        <f>(D14+D19)*D21</f>
        <v>1.1200000000000001</v>
      </c>
      <c r="E52" t="s">
        <v>49</v>
      </c>
    </row>
    <row r="53" spans="1:8">
      <c r="B53" t="s">
        <v>528</v>
      </c>
      <c r="D53">
        <f>(D20+D21+D22)*D23</f>
        <v>2.9866666666666677</v>
      </c>
      <c r="E53" t="s">
        <v>49</v>
      </c>
    </row>
    <row r="54" spans="1:8">
      <c r="B54" t="s">
        <v>529</v>
      </c>
      <c r="D54">
        <f>D25*D24</f>
        <v>1.5</v>
      </c>
      <c r="E54" t="s">
        <v>49</v>
      </c>
    </row>
    <row r="57" spans="1:8">
      <c r="A57" s="2" t="s">
        <v>26</v>
      </c>
    </row>
    <row r="58" spans="1:8" ht="15.75" thickBot="1">
      <c r="B58" s="1" t="s">
        <v>1</v>
      </c>
      <c r="C58" s="1" t="s">
        <v>2</v>
      </c>
      <c r="D58" s="1" t="s">
        <v>3</v>
      </c>
      <c r="E58" s="1" t="s">
        <v>616</v>
      </c>
      <c r="F58" s="1" t="s">
        <v>4</v>
      </c>
      <c r="G58" s="1" t="s">
        <v>643</v>
      </c>
      <c r="H58" s="1" t="s">
        <v>3</v>
      </c>
    </row>
    <row r="59" spans="1:8">
      <c r="A59" t="s">
        <v>530</v>
      </c>
      <c r="B59" t="s">
        <v>559</v>
      </c>
      <c r="C59">
        <f>(D50*D49*D11+D51*D12)*D30*(D29/1000)^2</f>
        <v>510.3</v>
      </c>
      <c r="D59" t="s">
        <v>48</v>
      </c>
      <c r="E59" t="s">
        <v>670</v>
      </c>
      <c r="F59" t="s">
        <v>674</v>
      </c>
      <c r="G59">
        <f>(D50*D49*D11+D51*D12)*D30</f>
        <v>2520</v>
      </c>
      <c r="H59" t="s">
        <v>21</v>
      </c>
    </row>
    <row r="60" spans="1:8">
      <c r="A60" t="s">
        <v>532</v>
      </c>
      <c r="B60" t="s">
        <v>533</v>
      </c>
      <c r="C60" s="15">
        <f>(D52++D53)*D11*D47</f>
        <v>213.54666666666671</v>
      </c>
      <c r="D60" t="s">
        <v>48</v>
      </c>
      <c r="E60" t="s">
        <v>617</v>
      </c>
      <c r="G60" s="15">
        <f>C60</f>
        <v>213.54666666666671</v>
      </c>
      <c r="H60" t="s">
        <v>48</v>
      </c>
    </row>
    <row r="61" spans="1:8">
      <c r="B61" t="s">
        <v>534</v>
      </c>
      <c r="C61" s="15">
        <f>D54*D26*D12</f>
        <v>18</v>
      </c>
      <c r="D61" t="s">
        <v>48</v>
      </c>
      <c r="E61" t="s">
        <v>617</v>
      </c>
      <c r="G61" s="15">
        <f>C61</f>
        <v>18</v>
      </c>
      <c r="H61" t="s">
        <v>48</v>
      </c>
    </row>
    <row r="62" spans="1:8">
      <c r="B62" t="s">
        <v>535</v>
      </c>
      <c r="C62" s="15">
        <f>(C60+C61)*D27/1000</f>
        <v>34.732000000000006</v>
      </c>
      <c r="D62" t="s">
        <v>159</v>
      </c>
      <c r="E62" s="13" t="s">
        <v>620</v>
      </c>
      <c r="F62" s="13"/>
      <c r="G62" s="30">
        <f>C62*1000</f>
        <v>34732.000000000007</v>
      </c>
      <c r="H62" s="13" t="s">
        <v>644</v>
      </c>
    </row>
    <row r="63" spans="1:8">
      <c r="B63" t="s">
        <v>536</v>
      </c>
      <c r="C63">
        <f>D46*D28*D11*0.25</f>
        <v>46</v>
      </c>
      <c r="D63" t="s">
        <v>48</v>
      </c>
      <c r="E63" s="13" t="s">
        <v>617</v>
      </c>
      <c r="F63" t="s">
        <v>561</v>
      </c>
      <c r="G63" s="30">
        <f>C63</f>
        <v>46</v>
      </c>
      <c r="H63" s="13" t="s">
        <v>48</v>
      </c>
    </row>
    <row r="64" spans="1:8">
      <c r="B64" t="s">
        <v>537</v>
      </c>
      <c r="C64" s="14">
        <f>D45*D47*D11</f>
        <v>1162.7553482998908</v>
      </c>
      <c r="D64" s="4" t="s">
        <v>49</v>
      </c>
      <c r="E64" s="13" t="s">
        <v>634</v>
      </c>
      <c r="F64" s="13"/>
      <c r="G64" s="30">
        <f>C64</f>
        <v>1162.7553482998908</v>
      </c>
      <c r="H64" s="13" t="s">
        <v>49</v>
      </c>
    </row>
    <row r="65" spans="1:8">
      <c r="A65" t="s">
        <v>39</v>
      </c>
      <c r="B65" t="s">
        <v>560</v>
      </c>
      <c r="C65" s="11">
        <f>D47*D5*D14*(100-D18)/100*((100-D16)/100)</f>
        <v>581.23520000000008</v>
      </c>
      <c r="D65" s="4" t="s">
        <v>48</v>
      </c>
      <c r="E65" s="13" t="s">
        <v>617</v>
      </c>
      <c r="F65" s="13"/>
      <c r="G65" s="30">
        <f>C65</f>
        <v>581.23520000000008</v>
      </c>
      <c r="H65" s="13" t="s">
        <v>48</v>
      </c>
    </row>
    <row r="66" spans="1:8">
      <c r="B66" t="s">
        <v>161</v>
      </c>
      <c r="C66" s="11">
        <f>D47*D5*D14*(100-D18)/100*((D16)/100)*D17</f>
        <v>9.1436800000000016</v>
      </c>
      <c r="D66" s="4" t="s">
        <v>159</v>
      </c>
      <c r="E66" s="13" t="s">
        <v>619</v>
      </c>
      <c r="F66" s="13"/>
      <c r="G66" s="30">
        <f>C66*1000</f>
        <v>9143.6800000000021</v>
      </c>
      <c r="H66" s="13" t="s">
        <v>644</v>
      </c>
    </row>
    <row r="67" spans="1:8">
      <c r="A67" t="s">
        <v>40</v>
      </c>
      <c r="B67" t="s">
        <v>565</v>
      </c>
      <c r="C67">
        <f>D46*D5*D32</f>
        <v>46</v>
      </c>
      <c r="D67" t="s">
        <v>48</v>
      </c>
      <c r="E67" s="13" t="s">
        <v>635</v>
      </c>
      <c r="F67" s="13"/>
      <c r="G67" s="13">
        <f>C67*2.5*1000</f>
        <v>115000</v>
      </c>
      <c r="H67" s="13" t="s">
        <v>644</v>
      </c>
    </row>
    <row r="68" spans="1:8">
      <c r="B68" t="s">
        <v>566</v>
      </c>
      <c r="C68">
        <f>D46*D5*D33</f>
        <v>64.400000000000006</v>
      </c>
      <c r="D68" t="s">
        <v>48</v>
      </c>
      <c r="E68" t="s">
        <v>638</v>
      </c>
      <c r="F68" s="13"/>
      <c r="G68" s="13">
        <f>C68*2.5*1000</f>
        <v>161000</v>
      </c>
      <c r="H68" s="13" t="s">
        <v>644</v>
      </c>
    </row>
    <row r="69" spans="1:8">
      <c r="B69" t="s">
        <v>601</v>
      </c>
      <c r="C69" s="15">
        <f>D46*D5*2</f>
        <v>1840</v>
      </c>
      <c r="D69" t="s">
        <v>49</v>
      </c>
      <c r="E69" s="13" t="s">
        <v>668</v>
      </c>
      <c r="F69" s="4" t="s">
        <v>603</v>
      </c>
      <c r="G69" s="30">
        <f>C69</f>
        <v>1840</v>
      </c>
      <c r="H69" s="13" t="s">
        <v>49</v>
      </c>
    </row>
    <row r="70" spans="1:8">
      <c r="B70" t="s">
        <v>540</v>
      </c>
      <c r="C70">
        <f>(D3*2*D5)*(D38*D39*D40)</f>
        <v>15.000000000000002</v>
      </c>
      <c r="D70" t="s">
        <v>159</v>
      </c>
      <c r="E70" s="13" t="s">
        <v>671</v>
      </c>
      <c r="F70" s="13" t="s">
        <v>682</v>
      </c>
      <c r="G70" s="13">
        <f>C70*1000</f>
        <v>15000.000000000002</v>
      </c>
      <c r="H70" s="13" t="s">
        <v>644</v>
      </c>
    </row>
    <row r="71" spans="1:8">
      <c r="A71" t="s">
        <v>541</v>
      </c>
      <c r="B71" t="s">
        <v>542</v>
      </c>
      <c r="C71">
        <f>D5</f>
        <v>40</v>
      </c>
      <c r="D71" t="s">
        <v>21</v>
      </c>
      <c r="E71" t="s">
        <v>696</v>
      </c>
      <c r="G71">
        <f>C71</f>
        <v>40</v>
      </c>
      <c r="H71" t="s">
        <v>21</v>
      </c>
    </row>
    <row r="72" spans="1:8">
      <c r="A72" t="s">
        <v>543</v>
      </c>
      <c r="B72" t="s">
        <v>544</v>
      </c>
      <c r="C72">
        <f>D5*2+D26*D12</f>
        <v>92</v>
      </c>
      <c r="D72" t="s">
        <v>21</v>
      </c>
      <c r="E72" t="s">
        <v>696</v>
      </c>
      <c r="G72">
        <f>C72</f>
        <v>92</v>
      </c>
      <c r="H72" t="s">
        <v>21</v>
      </c>
    </row>
    <row r="73" spans="1:8">
      <c r="A73" t="s">
        <v>36</v>
      </c>
      <c r="B73" t="s">
        <v>53</v>
      </c>
      <c r="C73">
        <f>2*D3*D5/1000</f>
        <v>0.16</v>
      </c>
      <c r="D73" t="s">
        <v>10</v>
      </c>
      <c r="E73" t="s">
        <v>621</v>
      </c>
      <c r="G73">
        <f>C73*1000</f>
        <v>160</v>
      </c>
      <c r="H73" t="s">
        <v>21</v>
      </c>
    </row>
    <row r="74" spans="1:8">
      <c r="B74" t="s">
        <v>54</v>
      </c>
      <c r="C74">
        <f>(D4-1)*D3*(D41/100)*D5/1000</f>
        <v>0.04</v>
      </c>
      <c r="D74" t="s">
        <v>10</v>
      </c>
      <c r="E74" t="s">
        <v>621</v>
      </c>
      <c r="G74">
        <f>C74*1000</f>
        <v>40</v>
      </c>
      <c r="H74" t="s">
        <v>21</v>
      </c>
    </row>
    <row r="75" spans="1:8">
      <c r="A75" t="s">
        <v>610</v>
      </c>
      <c r="B75" t="s">
        <v>610</v>
      </c>
      <c r="C75">
        <f>ROUNDUP(D5/$D$42,0)*2</f>
        <v>2</v>
      </c>
      <c r="D75" t="s">
        <v>393</v>
      </c>
      <c r="E75" t="s">
        <v>624</v>
      </c>
      <c r="F75" t="s">
        <v>701</v>
      </c>
      <c r="G75">
        <f>C75</f>
        <v>2</v>
      </c>
      <c r="H75" t="s">
        <v>393</v>
      </c>
    </row>
    <row r="76" spans="1:8">
      <c r="A76" s="87"/>
    </row>
    <row r="77" spans="1:8">
      <c r="A77" s="89"/>
    </row>
    <row r="78" spans="1:8">
      <c r="A78" s="8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35</vt:i4>
      </vt:variant>
      <vt:variant>
        <vt:lpstr>Benoemde bereiken</vt:lpstr>
      </vt:variant>
      <vt:variant>
        <vt:i4>1</vt:i4>
      </vt:variant>
    </vt:vector>
  </HeadingPairs>
  <TitlesOfParts>
    <vt:vector size="36" baseType="lpstr">
      <vt:lpstr>Intro</vt:lpstr>
      <vt:lpstr>Wegvak</vt:lpstr>
      <vt:lpstr>Aansluiting</vt:lpstr>
      <vt:lpstr>Viaduct voor semi-directe vw</vt:lpstr>
      <vt:lpstr>Viaduct (2x2)</vt:lpstr>
      <vt:lpstr>Viaduct (2x3)</vt:lpstr>
      <vt:lpstr>Knooppunt</vt:lpstr>
      <vt:lpstr>Brug 40m (2x2)</vt:lpstr>
      <vt:lpstr>Brug 40m (2x3)</vt:lpstr>
      <vt:lpstr>Brug 80m (2x2)</vt:lpstr>
      <vt:lpstr>Brug 80m (2x3)</vt:lpstr>
      <vt:lpstr>Fietsbrug over water 12m</vt:lpstr>
      <vt:lpstr>Fietsbrug over water 40m</vt:lpstr>
      <vt:lpstr>Fietsbrug over water 90m</vt:lpstr>
      <vt:lpstr>Fietsbrug over weg 12m</vt:lpstr>
      <vt:lpstr>Fietsbrug over weg 40m</vt:lpstr>
      <vt:lpstr>Fietsbrug over weg 90m</vt:lpstr>
      <vt:lpstr>Tunnel</vt:lpstr>
      <vt:lpstr>Open bak</vt:lpstr>
      <vt:lpstr>Verzorgingsplaats</vt:lpstr>
      <vt:lpstr>Viaductverbreding 1 rijstrook</vt:lpstr>
      <vt:lpstr>Snelfietspad</vt:lpstr>
      <vt:lpstr>P+R locaties</vt:lpstr>
      <vt:lpstr>Ontkoppelpunten</vt:lpstr>
      <vt:lpstr>Metro</vt:lpstr>
      <vt:lpstr>Enkel treinspoor</vt:lpstr>
      <vt:lpstr>Dubbel treinspoor</vt:lpstr>
      <vt:lpstr>Tramspoor</vt:lpstr>
      <vt:lpstr>Ondergrondse metro </vt:lpstr>
      <vt:lpstr>HOV-busbaan</vt:lpstr>
      <vt:lpstr>N-weg (met berm)</vt:lpstr>
      <vt:lpstr>N-weg (zonder berm)</vt:lpstr>
      <vt:lpstr>GO-weg</vt:lpstr>
      <vt:lpstr>Onderdoorgang</vt:lpstr>
      <vt:lpstr>Rotonde</vt:lpstr>
      <vt:lpstr>WegvakA1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Michiel Wolbers</dc:creator>
  <cp:lastModifiedBy>Klauw, Marjolein van der (GPO)</cp:lastModifiedBy>
  <cp:lastPrinted>2021-02-09T16:47:16Z</cp:lastPrinted>
  <dcterms:created xsi:type="dcterms:W3CDTF">2019-08-15T11:05:11Z</dcterms:created>
  <dcterms:modified xsi:type="dcterms:W3CDTF">2021-10-08T14:21:26Z</dcterms:modified>
</cp:coreProperties>
</file>